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ngelmayer\Rosenheimer Modell\Version 2.1\"/>
    </mc:Choice>
  </mc:AlternateContent>
  <workbookProtection workbookAlgorithmName="SHA-512" workbookHashValue="+b/FZdqb3p9LUixJnnev+28El7jkhFCbKzeNu6D6q5Yj51/z80Xq/KW22S68iTAkKS+WS3RL3vOeloM3kXh3WA==" workbookSaltValue="2OvQjKu57haorRedarYn1A==" workbookSpinCount="100000" lockStructure="1"/>
  <bookViews>
    <workbookView xWindow="0" yWindow="0" windowWidth="19200" windowHeight="14445" tabRatio="500"/>
  </bookViews>
  <sheets>
    <sheet name="Rosenheimer Modell" sheetId="1" r:id="rId1"/>
    <sheet name="Graphik" sheetId="3" state="hidden" r:id="rId2"/>
    <sheet name="Düsseldorfer Tabelle" sheetId="2" r:id="rId3"/>
  </sheets>
  <definedNames>
    <definedName name="_xlnm.Print_Area" localSheetId="0">'Rosenheimer Modell'!$A$1:$R$99,'Rosenheimer Modell'!$A$100:$T$161,'Rosenheimer Modell'!$A$162:$S$235</definedName>
  </definedName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2" l="1"/>
  <c r="K5" i="2"/>
  <c r="J1" i="2"/>
  <c r="J5" i="2"/>
  <c r="I1" i="2"/>
  <c r="I5" i="2"/>
  <c r="H1" i="2"/>
  <c r="H5" i="2"/>
  <c r="F1" i="2"/>
  <c r="F2" i="2"/>
  <c r="F3" i="2"/>
  <c r="J7" i="2"/>
  <c r="L7" i="2"/>
  <c r="F4" i="2"/>
  <c r="E4" i="2"/>
  <c r="E5" i="2"/>
  <c r="K82" i="1"/>
  <c r="H2" i="2"/>
  <c r="I84" i="1"/>
  <c r="H3" i="2"/>
  <c r="I86" i="1"/>
  <c r="E84" i="1"/>
  <c r="J8" i="2"/>
  <c r="L8" i="2"/>
  <c r="F5" i="2"/>
  <c r="E86" i="1"/>
  <c r="G1" i="2"/>
  <c r="G2" i="2"/>
  <c r="G84" i="1"/>
  <c r="G3" i="2"/>
  <c r="G5" i="2"/>
  <c r="G86" i="1"/>
  <c r="I2" i="2"/>
  <c r="K84" i="1"/>
  <c r="K86" i="1"/>
  <c r="J2" i="2"/>
  <c r="M84" i="1"/>
  <c r="M86" i="1"/>
  <c r="K2" i="2"/>
  <c r="O84" i="1"/>
  <c r="O86" i="1"/>
  <c r="O80" i="1"/>
  <c r="O97" i="1"/>
  <c r="I83" i="1"/>
  <c r="H4" i="2"/>
  <c r="I85" i="1"/>
  <c r="E83" i="1"/>
  <c r="E85" i="1"/>
  <c r="G4" i="2"/>
  <c r="G83" i="1"/>
  <c r="G85" i="1"/>
  <c r="K83" i="1"/>
  <c r="K85" i="1"/>
  <c r="M83" i="1"/>
  <c r="M85" i="1"/>
  <c r="O83" i="1"/>
  <c r="O85" i="1"/>
  <c r="K80" i="1"/>
  <c r="K97" i="1"/>
  <c r="N80" i="1"/>
  <c r="J80" i="1"/>
  <c r="N81" i="1"/>
  <c r="J81" i="1"/>
  <c r="I82" i="1"/>
  <c r="E8" i="2"/>
  <c r="E7" i="2"/>
  <c r="I3" i="2"/>
  <c r="J3" i="2"/>
  <c r="K3" i="2"/>
  <c r="K4" i="2"/>
  <c r="J4" i="2"/>
  <c r="I4" i="2"/>
  <c r="B86" i="1"/>
  <c r="B85" i="1"/>
  <c r="E2" i="2"/>
  <c r="E1" i="2"/>
  <c r="D58" i="1"/>
  <c r="H58" i="1"/>
  <c r="L58" i="1"/>
  <c r="Q58" i="1"/>
  <c r="D59" i="1"/>
  <c r="H59" i="1"/>
  <c r="L59" i="1"/>
  <c r="Q59" i="1"/>
  <c r="E72" i="1"/>
  <c r="K95" i="1"/>
  <c r="K98" i="1"/>
  <c r="K41" i="3"/>
  <c r="F73" i="1"/>
  <c r="E73" i="1"/>
  <c r="O95" i="1"/>
  <c r="O98" i="1"/>
  <c r="K42" i="3"/>
  <c r="M103" i="1"/>
  <c r="I195" i="1"/>
  <c r="K43" i="3"/>
  <c r="K44" i="3"/>
  <c r="L43" i="3"/>
  <c r="L42" i="3"/>
  <c r="K54" i="1"/>
  <c r="O133" i="1"/>
  <c r="O153" i="1"/>
  <c r="O163" i="1"/>
  <c r="J42" i="3"/>
  <c r="L41" i="3"/>
  <c r="K53" i="1"/>
  <c r="K133" i="1"/>
  <c r="K153" i="1"/>
  <c r="K163" i="1"/>
  <c r="J41" i="3"/>
  <c r="M39" i="3"/>
  <c r="K39" i="3"/>
  <c r="C70" i="1"/>
  <c r="C5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14" i="3"/>
  <c r="B5" i="3"/>
  <c r="B4" i="3"/>
  <c r="C4" i="3"/>
  <c r="B3" i="3"/>
  <c r="C14" i="3"/>
  <c r="C3" i="3"/>
  <c r="Q14" i="3"/>
  <c r="AE14" i="3"/>
  <c r="T14" i="3"/>
  <c r="R14" i="3"/>
  <c r="U14" i="3"/>
  <c r="C15" i="3"/>
  <c r="Q15" i="3"/>
  <c r="AE15" i="3"/>
  <c r="T15" i="3"/>
  <c r="R15" i="3"/>
  <c r="U15" i="3"/>
  <c r="C16" i="3"/>
  <c r="Q16" i="3"/>
  <c r="AE16" i="3"/>
  <c r="T16" i="3"/>
  <c r="R16" i="3"/>
  <c r="U16" i="3"/>
  <c r="C17" i="3"/>
  <c r="Q17" i="3"/>
  <c r="AE17" i="3"/>
  <c r="T17" i="3"/>
  <c r="R17" i="3"/>
  <c r="U17" i="3"/>
  <c r="C18" i="3"/>
  <c r="Q18" i="3"/>
  <c r="AE18" i="3"/>
  <c r="T18" i="3"/>
  <c r="R18" i="3"/>
  <c r="U18" i="3"/>
  <c r="C19" i="3"/>
  <c r="Q19" i="3"/>
  <c r="AE19" i="3"/>
  <c r="T19" i="3"/>
  <c r="R19" i="3"/>
  <c r="U19" i="3"/>
  <c r="C20" i="3"/>
  <c r="Q20" i="3"/>
  <c r="AE20" i="3"/>
  <c r="T20" i="3"/>
  <c r="R20" i="3"/>
  <c r="U20" i="3"/>
  <c r="C21" i="3"/>
  <c r="Q21" i="3"/>
  <c r="AE21" i="3"/>
  <c r="T21" i="3"/>
  <c r="R21" i="3"/>
  <c r="U21" i="3"/>
  <c r="C22" i="3"/>
  <c r="Q22" i="3"/>
  <c r="AE22" i="3"/>
  <c r="T22" i="3"/>
  <c r="R22" i="3"/>
  <c r="U22" i="3"/>
  <c r="C23" i="3"/>
  <c r="Q23" i="3"/>
  <c r="AE23" i="3"/>
  <c r="T23" i="3"/>
  <c r="R23" i="3"/>
  <c r="U23" i="3"/>
  <c r="C24" i="3"/>
  <c r="Q24" i="3"/>
  <c r="AE24" i="3"/>
  <c r="T24" i="3"/>
  <c r="R24" i="3"/>
  <c r="U24" i="3"/>
  <c r="C25" i="3"/>
  <c r="Q25" i="3"/>
  <c r="AE25" i="3"/>
  <c r="T25" i="3"/>
  <c r="R25" i="3"/>
  <c r="U25" i="3"/>
  <c r="C26" i="3"/>
  <c r="Q26" i="3"/>
  <c r="AE26" i="3"/>
  <c r="T26" i="3"/>
  <c r="R26" i="3"/>
  <c r="U26" i="3"/>
  <c r="C27" i="3"/>
  <c r="Q27" i="3"/>
  <c r="AE27" i="3"/>
  <c r="T27" i="3"/>
  <c r="R27" i="3"/>
  <c r="U27" i="3"/>
  <c r="C28" i="3"/>
  <c r="Q28" i="3"/>
  <c r="AE28" i="3"/>
  <c r="T28" i="3"/>
  <c r="R28" i="3"/>
  <c r="U28" i="3"/>
  <c r="C29" i="3"/>
  <c r="Q29" i="3"/>
  <c r="AE29" i="3"/>
  <c r="T29" i="3"/>
  <c r="R29" i="3"/>
  <c r="U29" i="3"/>
  <c r="C30" i="3"/>
  <c r="Q30" i="3"/>
  <c r="AE30" i="3"/>
  <c r="T30" i="3"/>
  <c r="R30" i="3"/>
  <c r="U30" i="3"/>
  <c r="C31" i="3"/>
  <c r="Q31" i="3"/>
  <c r="AE31" i="3"/>
  <c r="T31" i="3"/>
  <c r="R31" i="3"/>
  <c r="U31" i="3"/>
  <c r="C32" i="3"/>
  <c r="Q32" i="3"/>
  <c r="AE32" i="3"/>
  <c r="T32" i="3"/>
  <c r="R32" i="3"/>
  <c r="U32" i="3"/>
  <c r="C33" i="3"/>
  <c r="Q33" i="3"/>
  <c r="AE33" i="3"/>
  <c r="T33" i="3"/>
  <c r="R33" i="3"/>
  <c r="U33" i="3"/>
  <c r="C34" i="3"/>
  <c r="Q34" i="3"/>
  <c r="AE34" i="3"/>
  <c r="T34" i="3"/>
  <c r="R34" i="3"/>
  <c r="U34" i="3"/>
  <c r="E15" i="3"/>
  <c r="F15" i="3"/>
  <c r="D15" i="3"/>
  <c r="G15" i="3"/>
  <c r="E16" i="3"/>
  <c r="F16" i="3"/>
  <c r="D16" i="3"/>
  <c r="G16" i="3"/>
  <c r="E17" i="3"/>
  <c r="F17" i="3"/>
  <c r="D17" i="3"/>
  <c r="G17" i="3"/>
  <c r="E18" i="3"/>
  <c r="F18" i="3"/>
  <c r="D18" i="3"/>
  <c r="G18" i="3"/>
  <c r="E19" i="3"/>
  <c r="F19" i="3"/>
  <c r="D19" i="3"/>
  <c r="G19" i="3"/>
  <c r="E20" i="3"/>
  <c r="F20" i="3"/>
  <c r="D20" i="3"/>
  <c r="G20" i="3"/>
  <c r="E21" i="3"/>
  <c r="F21" i="3"/>
  <c r="D21" i="3"/>
  <c r="G21" i="3"/>
  <c r="E22" i="3"/>
  <c r="F22" i="3"/>
  <c r="D22" i="3"/>
  <c r="G22" i="3"/>
  <c r="E23" i="3"/>
  <c r="F23" i="3"/>
  <c r="D23" i="3"/>
  <c r="G23" i="3"/>
  <c r="E24" i="3"/>
  <c r="F24" i="3"/>
  <c r="D24" i="3"/>
  <c r="G24" i="3"/>
  <c r="E25" i="3"/>
  <c r="F25" i="3"/>
  <c r="D25" i="3"/>
  <c r="G25" i="3"/>
  <c r="E26" i="3"/>
  <c r="F26" i="3"/>
  <c r="D26" i="3"/>
  <c r="G26" i="3"/>
  <c r="E27" i="3"/>
  <c r="F27" i="3"/>
  <c r="D27" i="3"/>
  <c r="G27" i="3"/>
  <c r="E28" i="3"/>
  <c r="F28" i="3"/>
  <c r="D28" i="3"/>
  <c r="G28" i="3"/>
  <c r="E29" i="3"/>
  <c r="F29" i="3"/>
  <c r="D29" i="3"/>
  <c r="G29" i="3"/>
  <c r="E30" i="3"/>
  <c r="F30" i="3"/>
  <c r="D30" i="3"/>
  <c r="G30" i="3"/>
  <c r="E31" i="3"/>
  <c r="F31" i="3"/>
  <c r="D31" i="3"/>
  <c r="G31" i="3"/>
  <c r="E32" i="3"/>
  <c r="F32" i="3"/>
  <c r="D32" i="3"/>
  <c r="G32" i="3"/>
  <c r="E33" i="3"/>
  <c r="F33" i="3"/>
  <c r="D33" i="3"/>
  <c r="G33" i="3"/>
  <c r="E34" i="3"/>
  <c r="F34" i="3"/>
  <c r="D34" i="3"/>
  <c r="G34" i="3"/>
  <c r="E14" i="3"/>
  <c r="F14" i="3"/>
  <c r="D14" i="3"/>
  <c r="G14" i="3"/>
  <c r="O134" i="1"/>
  <c r="O96" i="1"/>
  <c r="O135" i="1"/>
  <c r="O136" i="1"/>
  <c r="O124" i="1"/>
  <c r="M102" i="1"/>
  <c r="M104" i="1"/>
  <c r="M109" i="1"/>
  <c r="M110" i="1"/>
  <c r="O116" i="1"/>
  <c r="O117" i="1"/>
  <c r="O126" i="1"/>
  <c r="O123" i="1"/>
  <c r="O125" i="1"/>
  <c r="O127" i="1"/>
  <c r="O154" i="1"/>
  <c r="K139" i="1"/>
  <c r="O139" i="1"/>
  <c r="O140" i="1"/>
  <c r="H142" i="1"/>
  <c r="H143" i="1"/>
  <c r="O143" i="1"/>
  <c r="O145" i="1"/>
  <c r="O146" i="1"/>
  <c r="O158" i="1"/>
  <c r="O165" i="1"/>
  <c r="O166" i="1"/>
  <c r="O167" i="1"/>
  <c r="O168" i="1"/>
  <c r="R6" i="3"/>
  <c r="K116" i="1"/>
  <c r="K117" i="1"/>
  <c r="K126" i="1"/>
  <c r="K123" i="1"/>
  <c r="K125" i="1"/>
  <c r="K124" i="1"/>
  <c r="K127" i="1"/>
  <c r="K154" i="1"/>
  <c r="K146" i="1"/>
  <c r="K158" i="1"/>
  <c r="K165" i="1"/>
  <c r="K167" i="1"/>
  <c r="K166" i="1"/>
  <c r="K168" i="1"/>
  <c r="Q6" i="3"/>
  <c r="R5" i="3"/>
  <c r="Q5" i="3"/>
  <c r="P5" i="3"/>
  <c r="R4" i="3"/>
  <c r="Q4" i="3"/>
  <c r="P4" i="3"/>
  <c r="R3" i="3"/>
  <c r="Q3" i="3"/>
  <c r="I165" i="1"/>
  <c r="P3" i="3"/>
  <c r="R2" i="3"/>
  <c r="Q2" i="3"/>
  <c r="J4" i="3"/>
  <c r="I4" i="3"/>
  <c r="H4" i="3"/>
  <c r="G4" i="3"/>
  <c r="AH26" i="3"/>
  <c r="AH27" i="3"/>
  <c r="AH28" i="3"/>
  <c r="AH29" i="3"/>
  <c r="AH30" i="3"/>
  <c r="AH31" i="3"/>
  <c r="AH32" i="3"/>
  <c r="AH33" i="3"/>
  <c r="AH34" i="3"/>
  <c r="AH25" i="3"/>
  <c r="AH24" i="3"/>
  <c r="AG24" i="3"/>
  <c r="AH14" i="3"/>
  <c r="AG15" i="3"/>
  <c r="AG16" i="3"/>
  <c r="AG17" i="3"/>
  <c r="AG18" i="3"/>
  <c r="AG19" i="3"/>
  <c r="AG20" i="3"/>
  <c r="AG21" i="3"/>
  <c r="AG22" i="3"/>
  <c r="AG23" i="3"/>
  <c r="AG14" i="3"/>
  <c r="B38" i="3"/>
  <c r="A38" i="3"/>
  <c r="K94" i="1"/>
  <c r="K115" i="1"/>
  <c r="O76" i="1"/>
  <c r="K122" i="1"/>
  <c r="K76" i="1"/>
  <c r="O164" i="1"/>
  <c r="K164" i="1"/>
  <c r="I164" i="1"/>
  <c r="G62" i="3"/>
  <c r="F62" i="3"/>
  <c r="AG34" i="3"/>
  <c r="E62" i="3"/>
  <c r="B2" i="3"/>
  <c r="I34" i="3"/>
  <c r="H34" i="3"/>
  <c r="J34" i="3"/>
  <c r="C6" i="3"/>
  <c r="C7" i="3"/>
  <c r="K34" i="3"/>
  <c r="L34" i="3"/>
  <c r="Z34" i="3"/>
  <c r="AA34" i="3"/>
  <c r="AB34" i="3"/>
  <c r="D62" i="3"/>
  <c r="N34" i="3"/>
  <c r="O34" i="3"/>
  <c r="C62" i="3"/>
  <c r="G61" i="3"/>
  <c r="F61" i="3"/>
  <c r="AG33" i="3"/>
  <c r="E61" i="3"/>
  <c r="I33" i="3"/>
  <c r="H33" i="3"/>
  <c r="J33" i="3"/>
  <c r="K33" i="3"/>
  <c r="L33" i="3"/>
  <c r="Z33" i="3"/>
  <c r="AA33" i="3"/>
  <c r="AB33" i="3"/>
  <c r="D61" i="3"/>
  <c r="N33" i="3"/>
  <c r="O33" i="3"/>
  <c r="C61" i="3"/>
  <c r="G60" i="3"/>
  <c r="F60" i="3"/>
  <c r="AG32" i="3"/>
  <c r="E60" i="3"/>
  <c r="I32" i="3"/>
  <c r="H32" i="3"/>
  <c r="J32" i="3"/>
  <c r="K32" i="3"/>
  <c r="L32" i="3"/>
  <c r="Z32" i="3"/>
  <c r="AA32" i="3"/>
  <c r="AB32" i="3"/>
  <c r="D60" i="3"/>
  <c r="N32" i="3"/>
  <c r="O32" i="3"/>
  <c r="C60" i="3"/>
  <c r="G59" i="3"/>
  <c r="F59" i="3"/>
  <c r="AG31" i="3"/>
  <c r="E59" i="3"/>
  <c r="I31" i="3"/>
  <c r="H31" i="3"/>
  <c r="J31" i="3"/>
  <c r="K31" i="3"/>
  <c r="L31" i="3"/>
  <c r="Z31" i="3"/>
  <c r="AA31" i="3"/>
  <c r="AB31" i="3"/>
  <c r="D59" i="3"/>
  <c r="N31" i="3"/>
  <c r="O31" i="3"/>
  <c r="C59" i="3"/>
  <c r="G58" i="3"/>
  <c r="F58" i="3"/>
  <c r="AG30" i="3"/>
  <c r="E58" i="3"/>
  <c r="I30" i="3"/>
  <c r="H30" i="3"/>
  <c r="J30" i="3"/>
  <c r="K30" i="3"/>
  <c r="L30" i="3"/>
  <c r="Z30" i="3"/>
  <c r="AA30" i="3"/>
  <c r="AB30" i="3"/>
  <c r="D58" i="3"/>
  <c r="N30" i="3"/>
  <c r="O30" i="3"/>
  <c r="C58" i="3"/>
  <c r="G57" i="3"/>
  <c r="F57" i="3"/>
  <c r="AG29" i="3"/>
  <c r="E57" i="3"/>
  <c r="I29" i="3"/>
  <c r="H29" i="3"/>
  <c r="J29" i="3"/>
  <c r="K29" i="3"/>
  <c r="L29" i="3"/>
  <c r="Z29" i="3"/>
  <c r="AA29" i="3"/>
  <c r="AB29" i="3"/>
  <c r="D57" i="3"/>
  <c r="N29" i="3"/>
  <c r="O29" i="3"/>
  <c r="C57" i="3"/>
  <c r="G56" i="3"/>
  <c r="F56" i="3"/>
  <c r="AG28" i="3"/>
  <c r="E56" i="3"/>
  <c r="I28" i="3"/>
  <c r="H28" i="3"/>
  <c r="J28" i="3"/>
  <c r="K28" i="3"/>
  <c r="L28" i="3"/>
  <c r="Z28" i="3"/>
  <c r="AA28" i="3"/>
  <c r="AB28" i="3"/>
  <c r="D56" i="3"/>
  <c r="N28" i="3"/>
  <c r="O28" i="3"/>
  <c r="C56" i="3"/>
  <c r="G55" i="3"/>
  <c r="F55" i="3"/>
  <c r="AG27" i="3"/>
  <c r="E55" i="3"/>
  <c r="I27" i="3"/>
  <c r="H27" i="3"/>
  <c r="J27" i="3"/>
  <c r="K27" i="3"/>
  <c r="L27" i="3"/>
  <c r="Z27" i="3"/>
  <c r="AA27" i="3"/>
  <c r="AB27" i="3"/>
  <c r="D55" i="3"/>
  <c r="N27" i="3"/>
  <c r="O27" i="3"/>
  <c r="C55" i="3"/>
  <c r="G54" i="3"/>
  <c r="F54" i="3"/>
  <c r="AG26" i="3"/>
  <c r="E54" i="3"/>
  <c r="I26" i="3"/>
  <c r="H26" i="3"/>
  <c r="J26" i="3"/>
  <c r="K26" i="3"/>
  <c r="L26" i="3"/>
  <c r="Z26" i="3"/>
  <c r="AA26" i="3"/>
  <c r="AB26" i="3"/>
  <c r="D54" i="3"/>
  <c r="N26" i="3"/>
  <c r="O26" i="3"/>
  <c r="C54" i="3"/>
  <c r="G53" i="3"/>
  <c r="F53" i="3"/>
  <c r="AG25" i="3"/>
  <c r="E53" i="3"/>
  <c r="I25" i="3"/>
  <c r="H25" i="3"/>
  <c r="J25" i="3"/>
  <c r="K25" i="3"/>
  <c r="L25" i="3"/>
  <c r="Z25" i="3"/>
  <c r="AA25" i="3"/>
  <c r="AB25" i="3"/>
  <c r="D53" i="3"/>
  <c r="N25" i="3"/>
  <c r="O25" i="3"/>
  <c r="C53" i="3"/>
  <c r="G52" i="3"/>
  <c r="F52" i="3"/>
  <c r="E52" i="3"/>
  <c r="C2" i="3"/>
  <c r="W24" i="3"/>
  <c r="V24" i="3"/>
  <c r="X24" i="3"/>
  <c r="Y24" i="3"/>
  <c r="Z24" i="3"/>
  <c r="AA24" i="3"/>
  <c r="AB24" i="3"/>
  <c r="D52" i="3"/>
  <c r="I24" i="3"/>
  <c r="H24" i="3"/>
  <c r="J24" i="3"/>
  <c r="K24" i="3"/>
  <c r="L24" i="3"/>
  <c r="N24" i="3"/>
  <c r="O24" i="3"/>
  <c r="C52" i="3"/>
  <c r="G51" i="3"/>
  <c r="AH23" i="3"/>
  <c r="F51" i="3"/>
  <c r="E51" i="3"/>
  <c r="W23" i="3"/>
  <c r="V23" i="3"/>
  <c r="X23" i="3"/>
  <c r="Y23" i="3"/>
  <c r="Z23" i="3"/>
  <c r="AA23" i="3"/>
  <c r="AB23" i="3"/>
  <c r="D51" i="3"/>
  <c r="L23" i="3"/>
  <c r="N23" i="3"/>
  <c r="O23" i="3"/>
  <c r="C51" i="3"/>
  <c r="G50" i="3"/>
  <c r="AH22" i="3"/>
  <c r="F50" i="3"/>
  <c r="E50" i="3"/>
  <c r="W22" i="3"/>
  <c r="V22" i="3"/>
  <c r="X22" i="3"/>
  <c r="Y22" i="3"/>
  <c r="Z22" i="3"/>
  <c r="AA22" i="3"/>
  <c r="AB22" i="3"/>
  <c r="D50" i="3"/>
  <c r="L22" i="3"/>
  <c r="N22" i="3"/>
  <c r="O22" i="3"/>
  <c r="C50" i="3"/>
  <c r="G49" i="3"/>
  <c r="AH21" i="3"/>
  <c r="F49" i="3"/>
  <c r="E49" i="3"/>
  <c r="W21" i="3"/>
  <c r="V21" i="3"/>
  <c r="X21" i="3"/>
  <c r="Y21" i="3"/>
  <c r="Z21" i="3"/>
  <c r="AA21" i="3"/>
  <c r="AB21" i="3"/>
  <c r="D49" i="3"/>
  <c r="L21" i="3"/>
  <c r="N21" i="3"/>
  <c r="O21" i="3"/>
  <c r="C49" i="3"/>
  <c r="G48" i="3"/>
  <c r="AH20" i="3"/>
  <c r="F48" i="3"/>
  <c r="E48" i="3"/>
  <c r="W20" i="3"/>
  <c r="V20" i="3"/>
  <c r="X20" i="3"/>
  <c r="Y20" i="3"/>
  <c r="Z20" i="3"/>
  <c r="AA20" i="3"/>
  <c r="AB20" i="3"/>
  <c r="D48" i="3"/>
  <c r="L20" i="3"/>
  <c r="N20" i="3"/>
  <c r="O20" i="3"/>
  <c r="C48" i="3"/>
  <c r="G47" i="3"/>
  <c r="AH19" i="3"/>
  <c r="F47" i="3"/>
  <c r="E47" i="3"/>
  <c r="W19" i="3"/>
  <c r="V19" i="3"/>
  <c r="X19" i="3"/>
  <c r="Y19" i="3"/>
  <c r="Z19" i="3"/>
  <c r="AA19" i="3"/>
  <c r="AB19" i="3"/>
  <c r="D47" i="3"/>
  <c r="L19" i="3"/>
  <c r="N19" i="3"/>
  <c r="O19" i="3"/>
  <c r="C47" i="3"/>
  <c r="G46" i="3"/>
  <c r="AH18" i="3"/>
  <c r="F46" i="3"/>
  <c r="E46" i="3"/>
  <c r="W18" i="3"/>
  <c r="V18" i="3"/>
  <c r="X18" i="3"/>
  <c r="Y18" i="3"/>
  <c r="Z18" i="3"/>
  <c r="AA18" i="3"/>
  <c r="AB18" i="3"/>
  <c r="D46" i="3"/>
  <c r="L18" i="3"/>
  <c r="N18" i="3"/>
  <c r="O18" i="3"/>
  <c r="C46" i="3"/>
  <c r="G45" i="3"/>
  <c r="AH17" i="3"/>
  <c r="F45" i="3"/>
  <c r="E45" i="3"/>
  <c r="W17" i="3"/>
  <c r="V17" i="3"/>
  <c r="X17" i="3"/>
  <c r="Y17" i="3"/>
  <c r="Z17" i="3"/>
  <c r="AA17" i="3"/>
  <c r="AB17" i="3"/>
  <c r="D45" i="3"/>
  <c r="L17" i="3"/>
  <c r="N17" i="3"/>
  <c r="O17" i="3"/>
  <c r="C45" i="3"/>
  <c r="G44" i="3"/>
  <c r="AH16" i="3"/>
  <c r="F44" i="3"/>
  <c r="E44" i="3"/>
  <c r="W16" i="3"/>
  <c r="V16" i="3"/>
  <c r="X16" i="3"/>
  <c r="Y16" i="3"/>
  <c r="Z16" i="3"/>
  <c r="AA16" i="3"/>
  <c r="AB16" i="3"/>
  <c r="D44" i="3"/>
  <c r="L16" i="3"/>
  <c r="N16" i="3"/>
  <c r="O16" i="3"/>
  <c r="C44" i="3"/>
  <c r="G43" i="3"/>
  <c r="AH15" i="3"/>
  <c r="F43" i="3"/>
  <c r="E43" i="3"/>
  <c r="W15" i="3"/>
  <c r="V15" i="3"/>
  <c r="X15" i="3"/>
  <c r="Y15" i="3"/>
  <c r="Z15" i="3"/>
  <c r="AA15" i="3"/>
  <c r="AB15" i="3"/>
  <c r="D43" i="3"/>
  <c r="L15" i="3"/>
  <c r="N15" i="3"/>
  <c r="O15" i="3"/>
  <c r="C43" i="3"/>
  <c r="G42" i="3"/>
  <c r="F42" i="3"/>
  <c r="E42" i="3"/>
  <c r="W14" i="3"/>
  <c r="V14" i="3"/>
  <c r="X14" i="3"/>
  <c r="Y14" i="3"/>
  <c r="Z14" i="3"/>
  <c r="AA14" i="3"/>
  <c r="AB14" i="3"/>
  <c r="D42" i="3"/>
  <c r="L14" i="3"/>
  <c r="N14" i="3"/>
  <c r="O14" i="3"/>
  <c r="C42" i="3"/>
  <c r="M88" i="1"/>
  <c r="A143" i="1"/>
  <c r="F57" i="1"/>
  <c r="B39" i="3"/>
  <c r="A39" i="3"/>
  <c r="C39" i="3"/>
  <c r="J109" i="1"/>
  <c r="B114" i="1"/>
  <c r="I126" i="1"/>
  <c r="I125" i="1"/>
  <c r="B116" i="1"/>
  <c r="A110" i="1"/>
  <c r="J104" i="1"/>
  <c r="B100" i="1"/>
  <c r="B90" i="1"/>
  <c r="B3" i="1"/>
  <c r="B106" i="1"/>
  <c r="K134" i="1"/>
  <c r="K96" i="1"/>
  <c r="K135" i="1"/>
  <c r="K136" i="1"/>
  <c r="K140" i="1"/>
  <c r="K143" i="1"/>
  <c r="I15" i="3"/>
  <c r="H15" i="3"/>
  <c r="J15" i="3"/>
  <c r="K15" i="3"/>
  <c r="I16" i="3"/>
  <c r="H16" i="3"/>
  <c r="J16" i="3"/>
  <c r="K16" i="3"/>
  <c r="I17" i="3"/>
  <c r="H17" i="3"/>
  <c r="J17" i="3"/>
  <c r="K17" i="3"/>
  <c r="I18" i="3"/>
  <c r="H18" i="3"/>
  <c r="J18" i="3"/>
  <c r="K18" i="3"/>
  <c r="I19" i="3"/>
  <c r="H19" i="3"/>
  <c r="J19" i="3"/>
  <c r="K19" i="3"/>
  <c r="I20" i="3"/>
  <c r="H20" i="3"/>
  <c r="J20" i="3"/>
  <c r="K20" i="3"/>
  <c r="I21" i="3"/>
  <c r="H21" i="3"/>
  <c r="J21" i="3"/>
  <c r="K21" i="3"/>
  <c r="I22" i="3"/>
  <c r="H22" i="3"/>
  <c r="J22" i="3"/>
  <c r="K22" i="3"/>
  <c r="I23" i="3"/>
  <c r="H23" i="3"/>
  <c r="J23" i="3"/>
  <c r="K23" i="3"/>
  <c r="I14" i="3"/>
  <c r="H14" i="3"/>
  <c r="J14" i="3"/>
  <c r="K14" i="3"/>
  <c r="W25" i="3"/>
  <c r="V25" i="3"/>
  <c r="X25" i="3"/>
  <c r="Y25" i="3"/>
  <c r="W26" i="3"/>
  <c r="V26" i="3"/>
  <c r="X26" i="3"/>
  <c r="Y26" i="3"/>
  <c r="W27" i="3"/>
  <c r="V27" i="3"/>
  <c r="X27" i="3"/>
  <c r="Y27" i="3"/>
  <c r="W28" i="3"/>
  <c r="V28" i="3"/>
  <c r="X28" i="3"/>
  <c r="Y28" i="3"/>
  <c r="W29" i="3"/>
  <c r="V29" i="3"/>
  <c r="X29" i="3"/>
  <c r="Y29" i="3"/>
  <c r="W30" i="3"/>
  <c r="V30" i="3"/>
  <c r="X30" i="3"/>
  <c r="Y30" i="3"/>
  <c r="W31" i="3"/>
  <c r="V31" i="3"/>
  <c r="X31" i="3"/>
  <c r="Y31" i="3"/>
  <c r="W32" i="3"/>
  <c r="V32" i="3"/>
  <c r="X32" i="3"/>
  <c r="Y32" i="3"/>
  <c r="W33" i="3"/>
  <c r="V33" i="3"/>
  <c r="X33" i="3"/>
  <c r="Y33" i="3"/>
  <c r="W34" i="3"/>
  <c r="V34" i="3"/>
  <c r="X34" i="3"/>
  <c r="Y34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K145" i="1"/>
  <c r="O138" i="1"/>
  <c r="K138" i="1"/>
  <c r="S13" i="3"/>
  <c r="R13" i="3"/>
  <c r="I194" i="1"/>
  <c r="O94" i="1"/>
  <c r="O115" i="1"/>
  <c r="O122" i="1"/>
  <c r="M116" i="1"/>
  <c r="I134" i="1"/>
  <c r="M90" i="1"/>
  <c r="K79" i="1"/>
  <c r="K99" i="1"/>
  <c r="J89" i="1"/>
  <c r="K91" i="1"/>
  <c r="J82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C49" i="1"/>
  <c r="D49" i="1"/>
  <c r="E49" i="1"/>
  <c r="F49" i="1"/>
  <c r="G49" i="1"/>
  <c r="H49" i="1"/>
  <c r="I49" i="1"/>
  <c r="K49" i="1"/>
  <c r="L49" i="1"/>
  <c r="M49" i="1"/>
  <c r="N49" i="1"/>
  <c r="O49" i="1"/>
  <c r="P49" i="1"/>
  <c r="Q49" i="1"/>
  <c r="K55" i="1"/>
  <c r="G60" i="1"/>
  <c r="J57" i="1"/>
  <c r="C59" i="1"/>
  <c r="G59" i="1"/>
  <c r="K59" i="1"/>
  <c r="P59" i="1"/>
  <c r="C60" i="1"/>
  <c r="D60" i="1"/>
  <c r="H60" i="1"/>
  <c r="L60" i="1"/>
  <c r="Q60" i="1"/>
  <c r="K60" i="1"/>
  <c r="C65" i="1"/>
  <c r="C73" i="1"/>
  <c r="C66" i="1"/>
  <c r="I135" i="1"/>
  <c r="I138" i="1"/>
  <c r="C58" i="1"/>
  <c r="K58" i="1"/>
  <c r="C72" i="1"/>
  <c r="G58" i="1"/>
  <c r="P58" i="1"/>
  <c r="C64" i="1"/>
  <c r="P60" i="1"/>
  <c r="E66" i="1"/>
  <c r="R60" i="1"/>
  <c r="R58" i="1"/>
  <c r="E64" i="1"/>
  <c r="E65" i="1"/>
  <c r="R59" i="1"/>
  <c r="I196" i="1"/>
  <c r="O156" i="1"/>
  <c r="K156" i="1"/>
</calcChain>
</file>

<file path=xl/sharedStrings.xml><?xml version="1.0" encoding="utf-8"?>
<sst xmlns="http://schemas.openxmlformats.org/spreadsheetml/2006/main" count="919" uniqueCount="223">
  <si>
    <t>Name:</t>
  </si>
  <si>
    <t>Susi</t>
  </si>
  <si>
    <t>Alter:</t>
  </si>
  <si>
    <t>1. Betreuungssituation</t>
  </si>
  <si>
    <t>Mutter</t>
  </si>
  <si>
    <t>Vater</t>
  </si>
  <si>
    <t>Staat</t>
  </si>
  <si>
    <t>Schulwoche 1</t>
  </si>
  <si>
    <t>Schulwoche 2</t>
  </si>
  <si>
    <t>ab … Uhr</t>
  </si>
  <si>
    <t>Mo</t>
  </si>
  <si>
    <t>Di</t>
  </si>
  <si>
    <t>Mi</t>
  </si>
  <si>
    <t>Do</t>
  </si>
  <si>
    <t>Fr</t>
  </si>
  <si>
    <t>Sa</t>
  </si>
  <si>
    <t>So</t>
  </si>
  <si>
    <t>00:00</t>
  </si>
  <si>
    <t>m</t>
  </si>
  <si>
    <t>v</t>
  </si>
  <si>
    <t>01:00</t>
  </si>
  <si>
    <t>02:00</t>
  </si>
  <si>
    <t>03:00</t>
  </si>
  <si>
    <t>04:00</t>
  </si>
  <si>
    <t>05:00</t>
  </si>
  <si>
    <t>06:00</t>
  </si>
  <si>
    <t>06:30</t>
  </si>
  <si>
    <t>07:00</t>
  </si>
  <si>
    <t>07:30</t>
  </si>
  <si>
    <t>08:00</t>
  </si>
  <si>
    <t>s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</si>
  <si>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</si>
  <si>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</si>
  <si>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</si>
  <si>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</si>
  <si>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</si>
  <si>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</si>
  <si>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</si>
  <si>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</si>
  <si>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</si>
  <si>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</si>
  <si>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</si>
  <si>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</si>
  <si>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</si>
  <si>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</si>
  <si>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</si>
  <si>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</si>
  <si>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</si>
  <si>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</si>
  <si>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</si>
  <si>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</si>
  <si>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</si>
  <si>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</si>
  <si>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</si>
  <si>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</si>
  <si>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21:00</t>
  </si>
  <si>
    <t>22:00</t>
  </si>
  <si>
    <t>23:00</t>
  </si>
  <si>
    <t>Tag</t>
  </si>
  <si>
    <t>Nacht</t>
  </si>
  <si>
    <t>Schulferien</t>
  </si>
  <si>
    <t>Tage</t>
  </si>
  <si>
    <t>(14 Wochen = 98 Tage)</t>
  </si>
  <si>
    <t>Betreuung in Stunden</t>
  </si>
  <si>
    <t xml:space="preserve">Betreuung </t>
  </si>
  <si>
    <t>in 14 Tagen</t>
  </si>
  <si>
    <t>Tage Schuljahr</t>
  </si>
  <si>
    <t>Tage Schulferien</t>
  </si>
  <si>
    <t>pro Jahr</t>
  </si>
  <si>
    <t>in h</t>
  </si>
  <si>
    <t>in %</t>
  </si>
  <si>
    <t>Betreuungsquoten Eltern &amp; Staat</t>
  </si>
  <si>
    <t>Betreuungsquoten nur Eltern</t>
  </si>
  <si>
    <t>eigener Wert</t>
  </si>
  <si>
    <t>2. Grunddaten Finanzielle Situation</t>
  </si>
  <si>
    <t>angenommenes Vollzeit Einkommen Netto</t>
  </si>
  <si>
    <t>(A1)</t>
  </si>
  <si>
    <t>Brutto-Netto-Rechner</t>
  </si>
  <si>
    <t>Barunterhalt nach Düsseldorfer Tabelle</t>
  </si>
  <si>
    <t>Düsseldorfer Tabelle</t>
  </si>
  <si>
    <t>Staatliche Zuwendungen pro Monat</t>
  </si>
  <si>
    <t>(A3)</t>
  </si>
  <si>
    <t>(A4)</t>
  </si>
  <si>
    <t>(z.B. Tanzkurs, Sportverein, Musikschule, etc.)</t>
  </si>
  <si>
    <t>3. Barunterhalt (abhängig vom Betreuungsanteil)</t>
  </si>
  <si>
    <t>Betreuungsquote</t>
  </si>
  <si>
    <r>
      <rPr>
        <b/>
        <sz val="10"/>
        <color indexed="8"/>
        <rFont val="Arial"/>
        <family val="2"/>
      </rPr>
      <t>Unterhaltsquote</t>
    </r>
    <r>
      <rPr>
        <sz val="10"/>
        <color indexed="8"/>
        <rFont val="Arial"/>
        <family val="2"/>
      </rPr>
      <t xml:space="preserve"> (reziprok zur Betreuungsquote)</t>
    </r>
  </si>
  <si>
    <t>(aus A2)</t>
  </si>
  <si>
    <t>Barunterhalt nach Unterhaltsquote</t>
  </si>
  <si>
    <t>(A5)</t>
  </si>
  <si>
    <t>Summe Barunterhalt von beiden Eltern</t>
  </si>
  <si>
    <t>(A6)</t>
  </si>
  <si>
    <t>Budget Kind</t>
  </si>
  <si>
    <t>(aus A6)</t>
  </si>
  <si>
    <t>Summe staatlicher Zuwendungen pro Monat</t>
  </si>
  <si>
    <t>(aus A3)</t>
  </si>
  <si>
    <t>(A7)</t>
  </si>
  <si>
    <t>(aus A4)</t>
  </si>
  <si>
    <t>(A8)</t>
  </si>
  <si>
    <t>(aus A8)</t>
  </si>
  <si>
    <t>Verteilung auf beide Haushalte nach Betreuungsquote</t>
  </si>
  <si>
    <t>(A9)</t>
  </si>
  <si>
    <t>6. Ausgleichsbetrag zwischen den beiden Haushalten</t>
  </si>
  <si>
    <r>
      <rPr>
        <b/>
        <sz val="10"/>
        <color indexed="8"/>
        <rFont val="Arial"/>
        <family val="2"/>
      </rPr>
      <t xml:space="preserve">Barunterhalt </t>
    </r>
    <r>
      <rPr>
        <sz val="10"/>
        <color indexed="8"/>
        <rFont val="Arial"/>
        <family val="2"/>
      </rPr>
      <t>nach Unterhaltsquote</t>
    </r>
  </si>
  <si>
    <t>(aus A5)</t>
  </si>
  <si>
    <r>
      <t xml:space="preserve">Staatliche </t>
    </r>
    <r>
      <rPr>
        <b/>
        <sz val="10"/>
        <color indexed="8"/>
        <rFont val="Arial"/>
        <family val="2"/>
      </rPr>
      <t>Zuwendungen</t>
    </r>
    <r>
      <rPr>
        <sz val="10"/>
        <color indexed="8"/>
        <rFont val="Arial"/>
        <family val="2"/>
      </rPr>
      <t xml:space="preserve"> pro Monat</t>
    </r>
  </si>
  <si>
    <t>(aus A9)</t>
  </si>
  <si>
    <t>Ausgleichsbetrag zwischen den Haushalten</t>
  </si>
  <si>
    <t>(A10)</t>
  </si>
  <si>
    <t>(nur Barunterhalt, staatl. Zuwendungen, Fixkosten)</t>
  </si>
  <si>
    <t>7. Ausgleich Mehrbetreuung und Erwerbsausfall</t>
  </si>
  <si>
    <t>(aus A1)</t>
  </si>
  <si>
    <t>relevantes Nettoeinkommen nach Unterhaltsquote</t>
  </si>
  <si>
    <t>(A11)</t>
  </si>
  <si>
    <t>Abweichung von 50%-Marke in der Betreuung</t>
  </si>
  <si>
    <t>(A12)</t>
  </si>
  <si>
    <t>Prozentualer Betrag vom relevanten Nettoeinkommen</t>
  </si>
  <si>
    <t>(A12 x A11)</t>
  </si>
  <si>
    <t>(A13)</t>
  </si>
  <si>
    <t xml:space="preserve">Alter des jüngsten Kindes:  </t>
  </si>
  <si>
    <t>(x A13)</t>
  </si>
  <si>
    <t>(A14)</t>
  </si>
  <si>
    <t>(1/18 Abzug pro Lebensjahr des jüngsten Kindes)</t>
  </si>
  <si>
    <t>zur Verfügung stehender Betrag für Mehrbetreuung</t>
  </si>
  <si>
    <t>(A13-A14)</t>
  </si>
  <si>
    <t>Ausgleich Mehrbetreuung</t>
  </si>
  <si>
    <t>(A15)</t>
  </si>
  <si>
    <t>(Hälfte an jeden Haushalt)</t>
  </si>
  <si>
    <t>8. Zusammenfassung</t>
  </si>
  <si>
    <t>Summe Barunterhalt</t>
  </si>
  <si>
    <t>für Kind steht zur Verfügung</t>
  </si>
  <si>
    <t>Monatliche Ausgleichszahlungen zwischen den Haushalten</t>
  </si>
  <si>
    <t>(aus A10)</t>
  </si>
  <si>
    <t>(Barunterhalt, staatl. Zuwendungen, Fixkosten)</t>
  </si>
  <si>
    <t>(aus A15)</t>
  </si>
  <si>
    <t>Summe Ausgleich zwischen den Haushalten</t>
  </si>
  <si>
    <t>(A16)</t>
  </si>
  <si>
    <t>(Barunterhalt, staatl. Zuwendungen, Fixkosten, Mehrbetreuung)</t>
  </si>
  <si>
    <t>Tatsächliche monatliche Belastung/Entlastung</t>
  </si>
  <si>
    <t>erhaltene staatliche Zuwendungen</t>
  </si>
  <si>
    <t>bereits bezahlte Kosten</t>
  </si>
  <si>
    <t>(mit Vergleichskurven für die selbe Situation im Residenzmodell)</t>
  </si>
  <si>
    <t>Betreuung</t>
  </si>
  <si>
    <t>Rosenheimer Modell</t>
  </si>
  <si>
    <t>Residenzmodell</t>
  </si>
  <si>
    <t>Vollzeit Netto</t>
  </si>
  <si>
    <t>DT</t>
  </si>
  <si>
    <t>Zuwendungen</t>
  </si>
  <si>
    <t>Kosten</t>
  </si>
  <si>
    <t>Alter jüngstes Kind</t>
  </si>
  <si>
    <t>Abzug durch Alter</t>
  </si>
  <si>
    <t>Mutter Rosenheimer Modell</t>
  </si>
  <si>
    <t>falsch?</t>
  </si>
  <si>
    <t>Vater Rosenheimer Modell</t>
  </si>
  <si>
    <t>A9</t>
  </si>
  <si>
    <t>A10</t>
  </si>
  <si>
    <t>A11</t>
  </si>
  <si>
    <t>A13</t>
  </si>
  <si>
    <t>A14</t>
  </si>
  <si>
    <t>Mutter Residenzmodell</t>
  </si>
  <si>
    <t>Vater Residenzmodell</t>
  </si>
  <si>
    <t>Anteil</t>
  </si>
  <si>
    <t>Summe</t>
  </si>
  <si>
    <t>+</t>
  </si>
  <si>
    <t>relevantes</t>
  </si>
  <si>
    <t>Abweichung</t>
  </si>
  <si>
    <t>Erm. Durch</t>
  </si>
  <si>
    <t>Hälfte</t>
  </si>
  <si>
    <t>tatsächliche</t>
  </si>
  <si>
    <t>Budget nach Kosten</t>
  </si>
  <si>
    <t>Barunterhalt</t>
  </si>
  <si>
    <t>staatl. Zuwend.</t>
  </si>
  <si>
    <t>Budget</t>
  </si>
  <si>
    <t>Ausgleich</t>
  </si>
  <si>
    <t>Mehrbetr</t>
  </si>
  <si>
    <t>netto</t>
  </si>
  <si>
    <t>von 50%</t>
  </si>
  <si>
    <t>Alter Kind</t>
  </si>
  <si>
    <t>Mehrbetr.</t>
  </si>
  <si>
    <t>Ausgleich II</t>
  </si>
  <si>
    <t>tat. Belastung</t>
  </si>
  <si>
    <t xml:space="preserve">Barunterhalt </t>
  </si>
  <si>
    <t>Mehrb. Betr.</t>
  </si>
  <si>
    <t>Belastung</t>
  </si>
  <si>
    <t>Unterhalt Kind</t>
  </si>
  <si>
    <t>Düsseldorfer Tabelle 2017 mit Zahlbeträgen</t>
  </si>
  <si>
    <t>zurück</t>
  </si>
  <si>
    <t>Altersstufen in Jahren, Beträge in €</t>
  </si>
  <si>
    <t>1. bis 1.500</t>
  </si>
  <si>
    <t>0-5</t>
  </si>
  <si>
    <t>6-11</t>
  </si>
  <si>
    <t>12-17</t>
  </si>
  <si>
    <t>ab 18</t>
  </si>
  <si>
    <t>1. und 2. Kind</t>
  </si>
  <si>
    <t>3. Kind</t>
  </si>
  <si>
    <t>ab dem 4. Kind</t>
  </si>
  <si>
    <t>1.501 bis 1.900</t>
  </si>
  <si>
    <t>1.901 bis 2.300</t>
  </si>
  <si>
    <t>2.301 bis 2.700</t>
  </si>
  <si>
    <t>2.701 bis 3.100</t>
  </si>
  <si>
    <t>3.101 bis 3.500</t>
  </si>
  <si>
    <t>3.501 bis 3.900</t>
  </si>
  <si>
    <t>3.901 bis 4.300</t>
  </si>
  <si>
    <t>4.301 bis 4.700</t>
  </si>
  <si>
    <t>4.701 bis 5.100</t>
  </si>
  <si>
    <t>Elternteil A</t>
  </si>
  <si>
    <t>Elternteil B</t>
  </si>
  <si>
    <t>(z.B. Kindergeld, Familienzuschläge, Elterngeld, etc.)</t>
  </si>
  <si>
    <t>Tatsächliche monatliche Belastung/Entlastung (kumuliert)</t>
  </si>
  <si>
    <t>9. Graphische Darstellung der tatsächlichen Belastung / Entlastung abhängig vom Betreuungsanteil</t>
  </si>
  <si>
    <t>Rosenheimer Modell, Version 2.1, März 2017. Copyright H. Engelmayer, www.rosenheimermodell.de</t>
  </si>
  <si>
    <t>Staatliche Zuwendungen</t>
  </si>
  <si>
    <t>Summe staatliche Zuwendungen</t>
  </si>
  <si>
    <t xml:space="preserve">Summe </t>
  </si>
  <si>
    <t>A</t>
  </si>
  <si>
    <t>B</t>
  </si>
  <si>
    <t>C</t>
  </si>
  <si>
    <t>D</t>
  </si>
  <si>
    <t>Nettoeinkommen</t>
  </si>
  <si>
    <t>Tim</t>
  </si>
  <si>
    <t>Altersgruppe:</t>
  </si>
  <si>
    <t>Barunterhalt nach Düsseldorfer Tabelle (automatisch)</t>
  </si>
  <si>
    <t>Barunterhalt nach Düsseldorfer Tabelle (manuell)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</si>
</sst>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[$€-407];[Red]\-#,##0\ [$€-407]"/>
    <numFmt numFmtId="165" formatCode="#,##0&quot; €&quot;;[Red]\-#,##0&quot; €&quot;"/>
    <numFmt numFmtId="166" formatCode="#,##0\ [$€-407];[Red]\-#,##0\ [$€-407];&quot;&quot;"/>
    <numFmt numFmtId="167" formatCode="#,##0\ &quot;€&quot;"/>
    <numFmt numFmtId="168" formatCode="0.0%"/>
    <numFmt numFmtId="169" formatCode="_-* #,##0\ [$€-407]_-;\-* #,##0\ [$€-407]_-;_-* &quot;-&quot;??\ [$€-407]_-;_-@_-"/>
    <numFmt numFmtId="170" formatCode="#,##0.0\ &quot;€&quot;;[Red]\-#,##0.0\ &quot;€&quot;"/>
    <numFmt numFmtId="171" formatCode="#,##0_ ;[Red]\-#,##0\ "/>
  </numFmts>
  <fonts count="60">
    <font>
      <sz val="10"/>
      <name val="Arial"/>
      <family val="2"/>
    </font>
    <font>
      <sz val="10"/>
      <color indexed="57"/>
      <name val="Arial Unicode MS"/>
      <family val="2"/>
    </font>
    <font>
      <sz val="10"/>
      <color indexed="53"/>
      <name val="Arial"/>
      <family val="2"/>
    </font>
    <font>
      <sz val="10"/>
      <color indexed="13"/>
      <name val="Arial Unicode MS"/>
      <family val="2"/>
    </font>
    <font>
      <sz val="10"/>
      <color indexed="18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46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9"/>
      <name val="Arial Unicode MS"/>
      <family val="2"/>
    </font>
    <font>
      <sz val="10"/>
      <color indexed="61"/>
      <name val="Arial"/>
      <family val="2"/>
    </font>
    <font>
      <sz val="10"/>
      <color indexed="17"/>
      <name val="Arial Unicode MS"/>
      <family val="2"/>
    </font>
    <font>
      <sz val="10"/>
      <color indexed="50"/>
      <name val="Arial Unicode MS"/>
      <family val="2"/>
    </font>
    <font>
      <sz val="10"/>
      <color indexed="51"/>
      <name val="Arial Unicode MS"/>
      <family val="2"/>
    </font>
    <font>
      <sz val="10"/>
      <color indexed="15"/>
      <name val="Arial Unicode MS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5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color indexed="11"/>
      <name val="Arial Unicode MS"/>
      <family val="2"/>
    </font>
    <font>
      <sz val="10"/>
      <color indexed="29"/>
      <name val="Arial"/>
      <family val="2"/>
    </font>
    <font>
      <sz val="10"/>
      <color indexed="25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sz val="9"/>
      <color indexed="49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0" tint="-0.249977111117893"/>
      <name val="Arial"/>
      <family val="2"/>
    </font>
    <font>
      <sz val="8"/>
      <color rgb="FFBFBFBF"/>
      <name val="Arial"/>
      <family val="2"/>
    </font>
    <font>
      <b/>
      <sz val="10"/>
      <color rgb="FFFF0000"/>
      <name val="Arial"/>
      <family val="2"/>
    </font>
    <font>
      <sz val="8"/>
      <color theme="8"/>
      <name val="Arial"/>
      <family val="2"/>
    </font>
    <font>
      <b/>
      <sz val="11"/>
      <color theme="1"/>
      <name val="Arial"/>
      <family val="2"/>
    </font>
    <font>
      <sz val="8"/>
      <color rgb="FF4472C4"/>
      <name val="Arial"/>
      <family val="2"/>
    </font>
    <font>
      <sz val="10"/>
      <color theme="4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0"/>
      <color rgb="FFFF00FF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18"/>
        <bgColor indexed="32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indexed="17"/>
        <bgColor indexed="21"/>
      </patternFill>
    </fill>
    <fill>
      <patternFill patternType="solid">
        <fgColor indexed="50"/>
        <bgColor indexed="11"/>
      </patternFill>
    </fill>
    <fill>
      <patternFill patternType="solid">
        <fgColor indexed="15"/>
        <bgColor indexed="35"/>
      </patternFill>
    </fill>
    <fill>
      <patternFill patternType="solid">
        <fgColor indexed="26"/>
        <bgColor indexed="27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2"/>
      </patternFill>
    </fill>
    <fill>
      <patternFill patternType="solid">
        <fgColor indexed="45"/>
        <bgColor indexed="46"/>
      </patternFill>
    </fill>
    <fill>
      <patternFill patternType="solid">
        <fgColor indexed="40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1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33"/>
      </patternFill>
    </fill>
    <fill>
      <patternFill patternType="solid">
        <fgColor rgb="FF00FFFF"/>
        <bgColor indexed="11"/>
      </patternFill>
    </fill>
    <fill>
      <patternFill patternType="solid">
        <fgColor rgb="FF00FFFF"/>
        <bgColor indexed="50"/>
      </patternFill>
    </fill>
    <fill>
      <patternFill patternType="solid">
        <fgColor rgb="FFFF00FF"/>
        <bgColor indexed="61"/>
      </patternFill>
    </fill>
    <fill>
      <patternFill patternType="solid">
        <fgColor rgb="FFFF00FF"/>
        <bgColor indexed="52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15"/>
      </patternFill>
    </fill>
    <fill>
      <patternFill patternType="solid">
        <fgColor rgb="FFFF3300"/>
        <bgColor indexed="15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auto="1"/>
      </top>
      <bottom style="double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rgb="FF002060"/>
      </top>
      <bottom/>
      <diagonal/>
    </border>
    <border>
      <left style="hair">
        <color indexed="8"/>
      </left>
      <right style="thin">
        <color indexed="8"/>
      </right>
      <top style="thin">
        <color rgb="FF002060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8"/>
      </right>
      <top/>
      <bottom/>
      <diagonal/>
    </border>
    <border>
      <left style="hair">
        <color indexed="8"/>
      </left>
      <right style="thin">
        <color auto="1"/>
      </right>
      <top/>
      <bottom/>
      <diagonal/>
    </border>
    <border>
      <left style="thin">
        <color auto="1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hair">
        <color indexed="8"/>
      </right>
      <top/>
      <bottom style="thick">
        <color auto="1"/>
      </bottom>
      <diagonal/>
    </border>
    <border>
      <left style="hair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rgb="FFFF00FF"/>
      </left>
      <right/>
      <top style="medium">
        <color rgb="FFFF00FF"/>
      </top>
      <bottom style="medium">
        <color rgb="FFFF00FF"/>
      </bottom>
      <diagonal/>
    </border>
    <border>
      <left/>
      <right/>
      <top style="medium">
        <color rgb="FFFF00FF"/>
      </top>
      <bottom style="medium">
        <color rgb="FFFF00FF"/>
      </bottom>
      <diagonal/>
    </border>
    <border>
      <left/>
      <right style="medium">
        <color rgb="FFFF00FF"/>
      </right>
      <top style="medium">
        <color rgb="FFFF00FF"/>
      </top>
      <bottom style="medium">
        <color rgb="FFFF00FF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rgb="FF002060"/>
      </left>
      <right style="thin">
        <color rgb="FF002060"/>
      </right>
      <top style="medium">
        <color auto="1"/>
      </top>
      <bottom style="double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/>
      <right/>
      <top style="thin">
        <color auto="1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8"/>
      </top>
      <bottom style="double">
        <color auto="1"/>
      </bottom>
      <diagonal/>
    </border>
    <border>
      <left style="hair">
        <color indexed="8"/>
      </left>
      <right style="thin">
        <color auto="1"/>
      </right>
      <top style="thin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1" fillId="2" borderId="1" applyProtection="0"/>
    <xf numFmtId="0" fontId="1" fillId="2" borderId="1" applyProtection="0"/>
    <xf numFmtId="0" fontId="1" fillId="2" borderId="1" applyProtection="0"/>
    <xf numFmtId="0" fontId="1" fillId="2" borderId="2" applyProtection="0"/>
    <xf numFmtId="0" fontId="2" fillId="3" borderId="1" applyProtection="0"/>
    <xf numFmtId="0" fontId="2" fillId="3" borderId="2" applyProtection="0"/>
    <xf numFmtId="0" fontId="3" fillId="4" borderId="1" applyProtection="0"/>
    <xf numFmtId="0" fontId="3" fillId="4" borderId="2" applyProtection="0"/>
    <xf numFmtId="0" fontId="4" fillId="5" borderId="1" applyProtection="0"/>
    <xf numFmtId="0" fontId="5" fillId="5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2" applyProtection="0"/>
    <xf numFmtId="0" fontId="6" fillId="0" borderId="1" applyProtection="0"/>
    <xf numFmtId="0" fontId="7" fillId="6" borderId="1" applyProtection="0"/>
    <xf numFmtId="0" fontId="8" fillId="7" borderId="2" applyProtection="0"/>
    <xf numFmtId="0" fontId="8" fillId="7" borderId="1" applyProtection="0"/>
    <xf numFmtId="0" fontId="9" fillId="8" borderId="1" applyProtection="0"/>
    <xf numFmtId="0" fontId="9" fillId="8" borderId="2" applyProtection="0"/>
    <xf numFmtId="0" fontId="7" fillId="6" borderId="2" applyProtection="0"/>
    <xf numFmtId="0" fontId="6" fillId="9" borderId="2" applyProtection="0"/>
    <xf numFmtId="0" fontId="10" fillId="10" borderId="1" applyProtection="0"/>
    <xf numFmtId="0" fontId="10" fillId="10" borderId="2" applyProtection="0"/>
    <xf numFmtId="9" fontId="6" fillId="0" borderId="0" applyBorder="0" applyProtection="0"/>
    <xf numFmtId="0" fontId="11" fillId="0" borderId="2" applyProtection="0"/>
    <xf numFmtId="0" fontId="11" fillId="0" borderId="1" applyProtection="0"/>
    <xf numFmtId="0" fontId="12" fillId="0" borderId="0" applyBorder="0" applyProtection="0"/>
    <xf numFmtId="0" fontId="13" fillId="11" borderId="1" applyProtection="0"/>
    <xf numFmtId="0" fontId="14" fillId="12" borderId="1" applyProtection="0"/>
    <xf numFmtId="0" fontId="14" fillId="12" borderId="2" applyProtection="0"/>
    <xf numFmtId="0" fontId="15" fillId="9" borderId="1" applyProtection="0"/>
    <xf numFmtId="0" fontId="15" fillId="9" borderId="2" applyProtection="0"/>
    <xf numFmtId="0" fontId="5" fillId="0" borderId="2" applyProtection="0"/>
    <xf numFmtId="0" fontId="16" fillId="13" borderId="1" applyProtection="0"/>
    <xf numFmtId="0" fontId="16" fillId="13" borderId="2" applyProtection="0"/>
    <xf numFmtId="0" fontId="12" fillId="0" borderId="0" applyBorder="0" applyProtection="0">
      <alignment horizontal="right"/>
    </xf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9" fillId="0" borderId="0">
      <alignment horizontal="center"/>
      <protection hidden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13">
      <alignment horizontal="center"/>
      <protection locked="0" hidden="1"/>
    </xf>
  </cellStyleXfs>
  <cellXfs count="410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right" vertical="top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hidden="1"/>
    </xf>
    <xf numFmtId="0" fontId="26" fillId="0" borderId="0" xfId="30" applyNumberFormat="1" applyFont="1" applyFill="1" applyBorder="1" applyProtection="1">
      <protection hidden="1"/>
    </xf>
    <xf numFmtId="0" fontId="24" fillId="0" borderId="0" xfId="0" applyFont="1" applyFill="1" applyProtection="1">
      <protection hidden="1"/>
    </xf>
    <xf numFmtId="0" fontId="5" fillId="0" borderId="0" xfId="30" applyNumberFormat="1" applyFont="1" applyFill="1" applyBorder="1" applyProtection="1">
      <protection hidden="1"/>
    </xf>
    <xf numFmtId="49" fontId="6" fillId="0" borderId="0" xfId="0" applyNumberFormat="1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right" vertical="center" shrinkToFit="1"/>
      <protection hidden="1"/>
    </xf>
    <xf numFmtId="49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Protection="1">
      <protection hidden="1"/>
    </xf>
    <xf numFmtId="0" fontId="27" fillId="0" borderId="0" xfId="23" applyNumberFormat="1" applyFont="1" applyFill="1" applyBorder="1" applyAlignment="1" applyProtection="1">
      <protection hidden="1"/>
    </xf>
    <xf numFmtId="0" fontId="4" fillId="0" borderId="0" xfId="35" applyNumberFormat="1" applyFont="1" applyFill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protection hidden="1"/>
    </xf>
    <xf numFmtId="0" fontId="20" fillId="17" borderId="4" xfId="0" applyFont="1" applyFill="1" applyBorder="1" applyAlignment="1" applyProtection="1">
      <alignment horizontal="center" vertical="center"/>
      <protection hidden="1"/>
    </xf>
    <xf numFmtId="1" fontId="0" fillId="0" borderId="4" xfId="0" applyNumberFormat="1" applyBorder="1" applyProtection="1">
      <protection hidden="1"/>
    </xf>
    <xf numFmtId="9" fontId="0" fillId="0" borderId="4" xfId="0" applyNumberFormat="1" applyBorder="1" applyProtection="1">
      <protection hidden="1"/>
    </xf>
    <xf numFmtId="0" fontId="20" fillId="18" borderId="4" xfId="0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0" fontId="11" fillId="0" borderId="0" xfId="25" applyNumberFormat="1" applyFont="1" applyFill="1" applyBorder="1" applyAlignment="1" applyProtection="1">
      <protection hidden="1"/>
    </xf>
    <xf numFmtId="0" fontId="5" fillId="0" borderId="0" xfId="25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9" fontId="28" fillId="0" borderId="0" xfId="0" applyNumberFormat="1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9" fontId="5" fillId="0" borderId="0" xfId="25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 shrinkToFit="1"/>
      <protection hidden="1"/>
    </xf>
    <xf numFmtId="0" fontId="32" fillId="0" borderId="0" xfId="0" applyFont="1" applyProtection="1">
      <protection hidden="1"/>
    </xf>
    <xf numFmtId="1" fontId="17" fillId="0" borderId="0" xfId="0" applyNumberFormat="1" applyFont="1" applyBorder="1" applyProtection="1">
      <protection hidden="1"/>
    </xf>
    <xf numFmtId="9" fontId="0" fillId="0" borderId="0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/>
    <xf numFmtId="0" fontId="17" fillId="0" borderId="0" xfId="0" applyFont="1" applyBorder="1" applyAlignment="1" applyProtection="1">
      <alignment horizontal="right"/>
      <protection hidden="1"/>
    </xf>
    <xf numFmtId="1" fontId="17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1" fontId="6" fillId="0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1" fontId="17" fillId="0" borderId="0" xfId="0" applyNumberFormat="1" applyFont="1" applyBorder="1" applyAlignment="1" applyProtection="1">
      <alignment horizontal="right"/>
      <protection hidden="1"/>
    </xf>
    <xf numFmtId="0" fontId="35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 horizontal="right"/>
      <protection hidden="1"/>
    </xf>
    <xf numFmtId="0" fontId="37" fillId="0" borderId="0" xfId="0" applyFont="1" applyProtection="1">
      <protection hidden="1"/>
    </xf>
    <xf numFmtId="0" fontId="27" fillId="19" borderId="2" xfId="23" applyNumberFormat="1" applyFont="1" applyFill="1" applyBorder="1" applyAlignment="1" applyProtection="1">
      <protection locked="0"/>
    </xf>
    <xf numFmtId="0" fontId="27" fillId="19" borderId="1" xfId="23" applyNumberFormat="1" applyFont="1" applyFill="1" applyBorder="1" applyAlignment="1" applyProtection="1">
      <protection locked="0"/>
    </xf>
    <xf numFmtId="0" fontId="27" fillId="19" borderId="1" xfId="0" applyNumberFormat="1" applyFont="1" applyFill="1" applyBorder="1" applyAlignment="1" applyProtection="1">
      <protection locked="0"/>
    </xf>
    <xf numFmtId="0" fontId="27" fillId="19" borderId="6" xfId="0" applyNumberFormat="1" applyFont="1" applyFill="1" applyBorder="1" applyAlignment="1" applyProtection="1">
      <protection locked="0"/>
    </xf>
    <xf numFmtId="0" fontId="27" fillId="19" borderId="2" xfId="0" applyNumberFormat="1" applyFont="1" applyFill="1" applyBorder="1" applyAlignment="1" applyProtection="1">
      <protection locked="0"/>
    </xf>
    <xf numFmtId="0" fontId="27" fillId="19" borderId="8" xfId="0" applyNumberFormat="1" applyFont="1" applyFill="1" applyBorder="1" applyAlignment="1" applyProtection="1">
      <protection locked="0"/>
    </xf>
    <xf numFmtId="0" fontId="26" fillId="20" borderId="1" xfId="29" applyNumberFormat="1" applyFont="1" applyFill="1" applyBorder="1" applyAlignment="1" applyProtection="1">
      <protection locked="0"/>
    </xf>
    <xf numFmtId="0" fontId="38" fillId="0" borderId="0" xfId="0" applyFont="1" applyProtection="1">
      <protection hidden="1"/>
    </xf>
    <xf numFmtId="9" fontId="17" fillId="0" borderId="0" xfId="0" applyNumberFormat="1" applyFont="1" applyFill="1" applyAlignment="1" applyProtection="1">
      <alignment horizontal="center"/>
      <protection hidden="1"/>
    </xf>
    <xf numFmtId="0" fontId="27" fillId="19" borderId="9" xfId="23" applyNumberFormat="1" applyFont="1" applyFill="1" applyBorder="1" applyAlignment="1" applyProtection="1">
      <protection locked="0"/>
    </xf>
    <xf numFmtId="0" fontId="22" fillId="0" borderId="0" xfId="0" applyFont="1" applyBorder="1" applyAlignment="1" applyProtection="1">
      <alignment horizontal="center" vertical="center" wrapText="1"/>
      <protection hidden="1"/>
    </xf>
    <xf numFmtId="49" fontId="24" fillId="15" borderId="10" xfId="0" applyNumberFormat="1" applyFont="1" applyFill="1" applyBorder="1" applyAlignment="1" applyProtection="1">
      <alignment horizontal="center" vertical="center"/>
      <protection hidden="1"/>
    </xf>
    <xf numFmtId="49" fontId="25" fillId="15" borderId="11" xfId="0" applyNumberFormat="1" applyFont="1" applyFill="1" applyBorder="1" applyAlignment="1" applyProtection="1">
      <alignment horizontal="center" vertical="center"/>
      <protection hidden="1"/>
    </xf>
    <xf numFmtId="0" fontId="27" fillId="19" borderId="7" xfId="23" applyNumberFormat="1" applyFont="1" applyFill="1" applyBorder="1" applyAlignment="1" applyProtection="1">
      <protection locked="0"/>
    </xf>
    <xf numFmtId="0" fontId="17" fillId="0" borderId="12" xfId="0" applyFont="1" applyBorder="1" applyProtection="1">
      <protection hidden="1"/>
    </xf>
    <xf numFmtId="0" fontId="0" fillId="0" borderId="12" xfId="0" applyBorder="1" applyProtection="1"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0" fontId="41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protection hidden="1"/>
    </xf>
    <xf numFmtId="0" fontId="43" fillId="0" borderId="0" xfId="0" applyFont="1" applyAlignment="1" applyProtection="1">
      <alignment horizontal="right"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9" fontId="0" fillId="0" borderId="0" xfId="0" applyNumberFormat="1" applyAlignment="1" applyProtection="1">
      <alignment vertical="top"/>
      <protection hidden="1"/>
    </xf>
    <xf numFmtId="0" fontId="41" fillId="0" borderId="13" xfId="0" applyFont="1" applyBorder="1"/>
    <xf numFmtId="49" fontId="40" fillId="22" borderId="13" xfId="0" applyNumberFormat="1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 hidden="1"/>
    </xf>
    <xf numFmtId="0" fontId="17" fillId="16" borderId="13" xfId="0" applyFont="1" applyFill="1" applyBorder="1" applyAlignment="1" applyProtection="1">
      <alignment horizontal="center" vertical="center"/>
      <protection locked="0" hidden="1"/>
    </xf>
    <xf numFmtId="0" fontId="0" fillId="16" borderId="13" xfId="0" applyFill="1" applyBorder="1" applyAlignment="1" applyProtection="1">
      <alignment horizontal="center" vertical="center"/>
      <protection locked="0" hidden="1"/>
    </xf>
    <xf numFmtId="9" fontId="0" fillId="0" borderId="13" xfId="0" applyNumberForma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64" fontId="0" fillId="0" borderId="0" xfId="0" applyNumberFormat="1" applyBorder="1" applyAlignment="1" applyProtection="1">
      <protection hidden="1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Border="1" applyAlignment="1" applyProtection="1">
      <alignment vertical="top"/>
      <protection hidden="1"/>
    </xf>
    <xf numFmtId="165" fontId="45" fillId="0" borderId="0" xfId="39" applyNumberFormat="1" applyBorder="1" applyAlignment="1" applyProtection="1"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7" xfId="0" applyBorder="1"/>
    <xf numFmtId="0" fontId="6" fillId="0" borderId="17" xfId="0" applyFont="1" applyBorder="1" applyAlignment="1" applyProtection="1">
      <alignment horizontal="right"/>
      <protection hidden="1"/>
    </xf>
    <xf numFmtId="1" fontId="6" fillId="0" borderId="17" xfId="0" applyNumberFormat="1" applyFont="1" applyBorder="1" applyAlignment="1" applyProtection="1">
      <alignment horizontal="right"/>
      <protection hidden="1"/>
    </xf>
    <xf numFmtId="0" fontId="17" fillId="0" borderId="29" xfId="0" applyFont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/>
      <protection hidden="1"/>
    </xf>
    <xf numFmtId="166" fontId="23" fillId="0" borderId="0" xfId="0" applyNumberFormat="1" applyFont="1" applyBorder="1" applyAlignment="1" applyProtection="1">
      <alignment horizontal="right" vertical="center"/>
      <protection hidden="1"/>
    </xf>
    <xf numFmtId="166" fontId="0" fillId="0" borderId="0" xfId="0" applyNumberFormat="1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9" fontId="49" fillId="0" borderId="0" xfId="40" applyNumberFormat="1">
      <alignment horizontal="center"/>
      <protection hidden="1"/>
    </xf>
    <xf numFmtId="0" fontId="49" fillId="0" borderId="0" xfId="40" applyAlignment="1">
      <alignment horizontal="center" shrinkToFit="1"/>
      <protection hidden="1"/>
    </xf>
    <xf numFmtId="0" fontId="0" fillId="0" borderId="0" xfId="0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/>
    <xf numFmtId="0" fontId="23" fillId="0" borderId="0" xfId="0" applyFont="1" applyBorder="1" applyAlignment="1" applyProtection="1">
      <alignment horizontal="right"/>
      <protection hidden="1"/>
    </xf>
    <xf numFmtId="6" fontId="0" fillId="0" borderId="0" xfId="0" applyNumberFormat="1"/>
    <xf numFmtId="166" fontId="23" fillId="0" borderId="0" xfId="0" applyNumberFormat="1" applyFont="1" applyBorder="1" applyAlignment="1" applyProtection="1">
      <alignment vertical="center"/>
      <protection hidden="1"/>
    </xf>
    <xf numFmtId="0" fontId="49" fillId="0" borderId="0" xfId="40" applyAlignment="1">
      <alignment horizontal="center" vertical="top"/>
      <protection hidden="1"/>
    </xf>
    <xf numFmtId="9" fontId="49" fillId="0" borderId="20" xfId="40" applyNumberFormat="1" applyBorder="1">
      <alignment horizontal="center"/>
      <protection hidden="1"/>
    </xf>
    <xf numFmtId="9" fontId="49" fillId="0" borderId="21" xfId="40" applyNumberFormat="1" applyBorder="1">
      <alignment horizontal="center"/>
      <protection hidden="1"/>
    </xf>
    <xf numFmtId="1" fontId="17" fillId="0" borderId="0" xfId="0" applyNumberFormat="1" applyFont="1" applyAlignment="1" applyProtection="1">
      <alignment horizontal="right" vertical="center"/>
      <protection hidden="1"/>
    </xf>
    <xf numFmtId="9" fontId="0" fillId="0" borderId="0" xfId="0" applyNumberFormat="1" applyAlignment="1" applyProtection="1">
      <protection hidden="1"/>
    </xf>
    <xf numFmtId="9" fontId="41" fillId="0" borderId="0" xfId="0" applyNumberFormat="1" applyFont="1" applyProtection="1">
      <protection hidden="1"/>
    </xf>
    <xf numFmtId="6" fontId="0" fillId="0" borderId="0" xfId="0" applyNumberFormat="1" applyAlignment="1" applyProtection="1">
      <protection hidden="1"/>
    </xf>
    <xf numFmtId="0" fontId="23" fillId="0" borderId="0" xfId="0" applyFont="1"/>
    <xf numFmtId="0" fontId="23" fillId="0" borderId="0" xfId="0" applyFont="1" applyProtection="1">
      <protection hidden="1"/>
    </xf>
    <xf numFmtId="6" fontId="40" fillId="0" borderId="0" xfId="0" applyNumberFormat="1" applyFont="1" applyProtection="1">
      <protection hidden="1"/>
    </xf>
    <xf numFmtId="1" fontId="23" fillId="0" borderId="0" xfId="0" applyNumberFormat="1" applyFont="1" applyProtection="1">
      <protection hidden="1"/>
    </xf>
    <xf numFmtId="6" fontId="23" fillId="0" borderId="0" xfId="0" applyNumberFormat="1" applyFont="1" applyProtection="1">
      <protection hidden="1"/>
    </xf>
    <xf numFmtId="6" fontId="23" fillId="0" borderId="0" xfId="0" applyNumberFormat="1" applyFont="1" applyAlignment="1" applyProtection="1">
      <protection hidden="1"/>
    </xf>
    <xf numFmtId="164" fontId="23" fillId="0" borderId="0" xfId="0" applyNumberFormat="1" applyFont="1" applyAlignment="1" applyProtection="1">
      <protection hidden="1"/>
    </xf>
    <xf numFmtId="0" fontId="52" fillId="0" borderId="0" xfId="0" applyFont="1" applyProtection="1">
      <protection hidden="1"/>
    </xf>
    <xf numFmtId="167" fontId="23" fillId="0" borderId="0" xfId="0" applyNumberFormat="1" applyFont="1"/>
    <xf numFmtId="164" fontId="0" fillId="0" borderId="0" xfId="0" applyNumberFormat="1" applyAlignment="1" applyProtection="1">
      <protection hidden="1"/>
    </xf>
    <xf numFmtId="166" fontId="0" fillId="0" borderId="0" xfId="0" applyNumberFormat="1" applyBorder="1" applyProtection="1">
      <protection hidden="1"/>
    </xf>
    <xf numFmtId="6" fontId="17" fillId="0" borderId="0" xfId="0" applyNumberFormat="1" applyFont="1" applyFill="1" applyAlignment="1" applyProtection="1">
      <alignment horizontal="center"/>
      <protection hidden="1"/>
    </xf>
    <xf numFmtId="166" fontId="49" fillId="0" borderId="0" xfId="40" applyNumberFormat="1" applyAlignment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 vertical="center" wrapText="1"/>
      <protection hidden="1"/>
    </xf>
    <xf numFmtId="164" fontId="45" fillId="0" borderId="0" xfId="39" applyNumberForma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0" fillId="24" borderId="18" xfId="0" applyFont="1" applyFill="1" applyBorder="1" applyAlignment="1" applyProtection="1">
      <alignment horizontal="right" shrinkToFit="1"/>
      <protection hidden="1"/>
    </xf>
    <xf numFmtId="168" fontId="6" fillId="0" borderId="0" xfId="24" applyNumberFormat="1"/>
    <xf numFmtId="0" fontId="39" fillId="0" borderId="0" xfId="37" applyAlignment="1" applyProtection="1">
      <protection hidden="1"/>
    </xf>
    <xf numFmtId="166" fontId="17" fillId="0" borderId="0" xfId="0" applyNumberFormat="1" applyFont="1" applyBorder="1" applyProtection="1">
      <protection hidden="1"/>
    </xf>
    <xf numFmtId="0" fontId="39" fillId="0" borderId="0" xfId="37" applyAlignment="1" applyProtection="1">
      <alignment shrinkToFit="1"/>
      <protection hidden="1"/>
    </xf>
    <xf numFmtId="0" fontId="30" fillId="0" borderId="58" xfId="0" applyFont="1" applyBorder="1" applyAlignment="1" applyProtection="1">
      <alignment shrinkToFit="1"/>
      <protection hidden="1"/>
    </xf>
    <xf numFmtId="0" fontId="30" fillId="0" borderId="0" xfId="0" applyFont="1" applyAlignment="1" applyProtection="1">
      <alignment shrinkToFit="1"/>
      <protection hidden="1"/>
    </xf>
    <xf numFmtId="168" fontId="0" fillId="0" borderId="0" xfId="0" applyNumberFormat="1"/>
    <xf numFmtId="168" fontId="6" fillId="0" borderId="0" xfId="24" applyNumberFormat="1" applyFill="1" applyBorder="1" applyAlignment="1" applyProtection="1">
      <alignment horizontal="center"/>
      <protection hidden="1"/>
    </xf>
    <xf numFmtId="0" fontId="49" fillId="0" borderId="0" xfId="40" applyBorder="1" applyAlignment="1">
      <alignment horizontal="center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1" fontId="0" fillId="16" borderId="14" xfId="0" applyNumberFormat="1" applyFill="1" applyBorder="1" applyAlignment="1" applyProtection="1">
      <alignment horizontal="center"/>
      <protection locked="0" hidden="1"/>
    </xf>
    <xf numFmtId="169" fontId="17" fillId="0" borderId="0" xfId="49" applyNumberFormat="1" applyFont="1" applyFill="1" applyAlignment="1" applyProtection="1">
      <alignment horizontal="center"/>
      <protection hidden="1"/>
    </xf>
    <xf numFmtId="0" fontId="0" fillId="0" borderId="0" xfId="0"/>
    <xf numFmtId="0" fontId="36" fillId="0" borderId="0" xfId="0" applyFont="1" applyAlignment="1" applyProtection="1">
      <protection hidden="1"/>
    </xf>
    <xf numFmtId="9" fontId="23" fillId="0" borderId="66" xfId="0" applyNumberFormat="1" applyFont="1" applyBorder="1" applyAlignment="1" applyProtection="1">
      <alignment vertical="center"/>
      <protection hidden="1"/>
    </xf>
    <xf numFmtId="9" fontId="23" fillId="0" borderId="67" xfId="0" applyNumberFormat="1" applyFont="1" applyBorder="1" applyAlignment="1" applyProtection="1">
      <alignment vertical="center"/>
      <protection hidden="1"/>
    </xf>
    <xf numFmtId="0" fontId="49" fillId="0" borderId="0" xfId="40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/>
    <xf numFmtId="0" fontId="29" fillId="0" borderId="0" xfId="0" applyFont="1" applyProtection="1">
      <protection hidden="1"/>
    </xf>
    <xf numFmtId="0" fontId="0" fillId="0" borderId="0" xfId="0" applyBorder="1" applyProtection="1">
      <protection hidden="1"/>
    </xf>
    <xf numFmtId="1" fontId="6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right" shrinkToFit="1"/>
      <protection hidden="1"/>
    </xf>
    <xf numFmtId="0" fontId="0" fillId="0" borderId="0" xfId="0" applyFont="1" applyAlignment="1" applyProtection="1">
      <alignment horizontal="center" shrinkToFit="1"/>
      <protection hidden="1"/>
    </xf>
    <xf numFmtId="0" fontId="49" fillId="0" borderId="0" xfId="40" applyAlignment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164" fontId="0" fillId="0" borderId="28" xfId="0" applyNumberFormat="1" applyBorder="1" applyAlignment="1" applyProtection="1">
      <alignment horizontal="right"/>
      <protection hidden="1"/>
    </xf>
    <xf numFmtId="164" fontId="0" fillId="0" borderId="11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29" fillId="0" borderId="0" xfId="0" applyFont="1" applyAlignment="1" applyProtection="1">
      <protection hidden="1"/>
    </xf>
    <xf numFmtId="0" fontId="23" fillId="14" borderId="69" xfId="23" applyFont="1" applyFill="1" applyBorder="1" applyAlignment="1" applyProtection="1">
      <alignment horizontal="center" vertical="center"/>
      <protection hidden="1"/>
    </xf>
    <xf numFmtId="49" fontId="25" fillId="15" borderId="70" xfId="0" applyNumberFormat="1" applyFont="1" applyFill="1" applyBorder="1" applyAlignment="1" applyProtection="1">
      <alignment horizontal="center" vertical="center"/>
      <protection hidden="1"/>
    </xf>
    <xf numFmtId="49" fontId="25" fillId="15" borderId="71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/>
    <xf numFmtId="166" fontId="6" fillId="0" borderId="0" xfId="0" applyNumberFormat="1" applyFont="1" applyBorder="1" applyProtection="1">
      <protection hidden="1"/>
    </xf>
    <xf numFmtId="166" fontId="17" fillId="0" borderId="0" xfId="0" applyNumberFormat="1" applyFont="1" applyBorder="1" applyAlignment="1" applyProtection="1">
      <protection hidden="1"/>
    </xf>
    <xf numFmtId="166" fontId="0" fillId="0" borderId="0" xfId="0" applyNumberForma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40" fillId="22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 vertical="top"/>
      <protection hidden="1"/>
    </xf>
    <xf numFmtId="0" fontId="49" fillId="0" borderId="0" xfId="40" applyAlignment="1">
      <alignment horizont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 shrinkToFit="1"/>
      <protection hidden="1"/>
    </xf>
    <xf numFmtId="0" fontId="40" fillId="22" borderId="18" xfId="0" applyFont="1" applyFill="1" applyBorder="1" applyAlignment="1">
      <alignment vertical="center" wrapText="1"/>
    </xf>
    <xf numFmtId="0" fontId="40" fillId="22" borderId="18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hidden="1"/>
    </xf>
    <xf numFmtId="0" fontId="55" fillId="33" borderId="0" xfId="0" applyFont="1" applyFill="1" applyBorder="1" applyAlignment="1" applyProtection="1">
      <alignment horizontal="center"/>
      <protection hidden="1"/>
    </xf>
    <xf numFmtId="0" fontId="39" fillId="0" borderId="0" xfId="37" applyAlignment="1" applyProtection="1">
      <alignment vertical="center" wrapText="1" shrinkToFit="1"/>
      <protection hidden="1"/>
    </xf>
    <xf numFmtId="0" fontId="49" fillId="0" borderId="0" xfId="40" applyProtection="1">
      <alignment horizontal="center"/>
      <protection hidden="1"/>
    </xf>
    <xf numFmtId="0" fontId="39" fillId="0" borderId="0" xfId="37" applyAlignment="1" applyProtection="1">
      <alignment vertical="center" wrapText="1"/>
      <protection hidden="1"/>
    </xf>
    <xf numFmtId="0" fontId="56" fillId="0" borderId="0" xfId="37" applyFont="1" applyAlignment="1" applyProtection="1">
      <alignment horizontal="center" vertical="center" wrapText="1"/>
      <protection hidden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23" fillId="0" borderId="13" xfId="0" applyFont="1" applyFill="1" applyBorder="1" applyAlignment="1">
      <alignment horizontal="center" shrinkToFit="1"/>
    </xf>
    <xf numFmtId="0" fontId="23" fillId="0" borderId="0" xfId="0" applyFont="1" applyFill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167" fontId="0" fillId="0" borderId="13" xfId="0" applyNumberFormat="1" applyFill="1" applyBorder="1" applyAlignment="1">
      <alignment horizontal="center" shrinkToFit="1"/>
    </xf>
    <xf numFmtId="0" fontId="58" fillId="0" borderId="13" xfId="0" applyFont="1" applyFill="1" applyBorder="1" applyAlignment="1">
      <alignment horizontal="center" shrinkToFit="1"/>
    </xf>
    <xf numFmtId="0" fontId="58" fillId="0" borderId="13" xfId="0" applyFont="1" applyFill="1" applyBorder="1" applyAlignment="1">
      <alignment horizontal="center"/>
    </xf>
    <xf numFmtId="0" fontId="59" fillId="0" borderId="0" xfId="37" applyFont="1" applyBorder="1"/>
    <xf numFmtId="0" fontId="44" fillId="0" borderId="0" xfId="0" applyFont="1" applyBorder="1" applyAlignment="1" applyProtection="1">
      <alignment horizontal="center" vertical="center" shrinkToFit="1"/>
      <protection hidden="1"/>
    </xf>
    <xf numFmtId="165" fontId="57" fillId="0" borderId="14" xfId="0" applyNumberFormat="1" applyFont="1" applyFill="1" applyBorder="1" applyAlignment="1" applyProtection="1">
      <alignment horizontal="center"/>
      <protection hidden="1"/>
    </xf>
    <xf numFmtId="165" fontId="57" fillId="0" borderId="15" xfId="0" applyNumberFormat="1" applyFont="1" applyFill="1" applyBorder="1" applyAlignment="1" applyProtection="1">
      <alignment horizontal="center"/>
      <protection hidden="1"/>
    </xf>
    <xf numFmtId="165" fontId="43" fillId="0" borderId="14" xfId="0" applyNumberFormat="1" applyFont="1" applyFill="1" applyBorder="1" applyAlignment="1" applyProtection="1">
      <alignment horizontal="center"/>
      <protection hidden="1"/>
    </xf>
    <xf numFmtId="165" fontId="43" fillId="0" borderId="15" xfId="0" applyNumberFormat="1" applyFont="1" applyFill="1" applyBorder="1" applyAlignment="1" applyProtection="1">
      <alignment horizontal="center"/>
      <protection hidden="1"/>
    </xf>
    <xf numFmtId="0" fontId="20" fillId="25" borderId="92" xfId="0" applyFont="1" applyFill="1" applyBorder="1" applyAlignment="1" applyProtection="1">
      <alignment horizontal="center" vertical="center" shrinkToFit="1"/>
      <protection hidden="1"/>
    </xf>
    <xf numFmtId="0" fontId="20" fillId="25" borderId="17" xfId="0" applyFont="1" applyFill="1" applyBorder="1" applyAlignment="1" applyProtection="1">
      <alignment horizontal="center" vertical="center" shrinkToFit="1"/>
      <protection hidden="1"/>
    </xf>
    <xf numFmtId="0" fontId="20" fillId="25" borderId="15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right" shrinkToFit="1"/>
      <protection hidden="1"/>
    </xf>
    <xf numFmtId="165" fontId="6" fillId="16" borderId="13" xfId="0" applyNumberFormat="1" applyFont="1" applyFill="1" applyBorder="1" applyAlignment="1" applyProtection="1">
      <alignment horizontal="right"/>
      <protection locked="0" hidden="1"/>
    </xf>
    <xf numFmtId="165" fontId="0" fillId="16" borderId="13" xfId="0" applyNumberFormat="1" applyFill="1" applyBorder="1" applyAlignment="1" applyProtection="1">
      <alignment horizontal="right"/>
      <protection locked="0" hidden="1"/>
    </xf>
    <xf numFmtId="0" fontId="44" fillId="0" borderId="91" xfId="0" applyFont="1" applyBorder="1" applyAlignment="1" applyProtection="1">
      <alignment horizontal="center" vertical="top"/>
      <protection hidden="1"/>
    </xf>
    <xf numFmtId="171" fontId="43" fillId="0" borderId="14" xfId="0" applyNumberFormat="1" applyFont="1" applyFill="1" applyBorder="1" applyAlignment="1" applyProtection="1">
      <alignment horizontal="center"/>
      <protection hidden="1"/>
    </xf>
    <xf numFmtId="171" fontId="43" fillId="0" borderId="15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shrinkToFit="1"/>
      <protection hidden="1"/>
    </xf>
    <xf numFmtId="0" fontId="36" fillId="0" borderId="0" xfId="0" applyFont="1" applyAlignment="1" applyProtection="1">
      <alignment horizontal="center" shrinkToFit="1"/>
      <protection hidden="1"/>
    </xf>
    <xf numFmtId="0" fontId="56" fillId="0" borderId="0" xfId="37" applyFont="1" applyAlignment="1" applyProtection="1">
      <alignment horizontal="center" vertical="center" wrapText="1" shrinkToFit="1"/>
      <protection locked="0" hidden="1"/>
    </xf>
    <xf numFmtId="0" fontId="56" fillId="0" borderId="0" xfId="37" applyFont="1" applyAlignment="1" applyProtection="1">
      <alignment horizontal="center" vertical="center" wrapText="1"/>
      <protection locked="0" hidden="1"/>
    </xf>
    <xf numFmtId="166" fontId="0" fillId="0" borderId="49" xfId="0" applyNumberFormat="1" applyFill="1" applyBorder="1" applyAlignment="1" applyProtection="1">
      <alignment vertical="center"/>
      <protection hidden="1"/>
    </xf>
    <xf numFmtId="166" fontId="0" fillId="0" borderId="48" xfId="0" applyNumberForma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right" shrinkToFit="1"/>
      <protection hidden="1"/>
    </xf>
    <xf numFmtId="1" fontId="6" fillId="0" borderId="0" xfId="0" applyNumberFormat="1" applyFont="1" applyAlignment="1" applyProtection="1">
      <alignment horizontal="center" vertical="center" shrinkToFit="1"/>
      <protection hidden="1"/>
    </xf>
    <xf numFmtId="0" fontId="55" fillId="23" borderId="60" xfId="0" applyFont="1" applyFill="1" applyBorder="1" applyAlignment="1" applyProtection="1">
      <alignment horizontal="center"/>
      <protection hidden="1"/>
    </xf>
    <xf numFmtId="0" fontId="55" fillId="23" borderId="61" xfId="0" applyFont="1" applyFill="1" applyBorder="1" applyAlignment="1" applyProtection="1">
      <alignment horizontal="center"/>
      <protection hidden="1"/>
    </xf>
    <xf numFmtId="0" fontId="55" fillId="23" borderId="62" xfId="0" applyFont="1" applyFill="1" applyBorder="1" applyAlignment="1" applyProtection="1">
      <alignment horizontal="center"/>
      <protection hidden="1"/>
    </xf>
    <xf numFmtId="168" fontId="6" fillId="24" borderId="14" xfId="24" applyNumberFormat="1" applyFill="1" applyBorder="1" applyAlignment="1" applyProtection="1">
      <alignment horizontal="center"/>
      <protection hidden="1"/>
    </xf>
    <xf numFmtId="168" fontId="6" fillId="24" borderId="15" xfId="24" applyNumberForma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shrinkToFit="1"/>
      <protection hidden="1"/>
    </xf>
    <xf numFmtId="0" fontId="0" fillId="0" borderId="19" xfId="0" applyFont="1" applyBorder="1" applyAlignment="1" applyProtection="1">
      <alignment horizontal="right" shrinkToFit="1"/>
      <protection hidden="1"/>
    </xf>
    <xf numFmtId="0" fontId="0" fillId="0" borderId="0" xfId="0" applyFont="1" applyAlignment="1" applyProtection="1">
      <alignment horizontal="center" shrinkToFit="1"/>
      <protection hidden="1"/>
    </xf>
    <xf numFmtId="0" fontId="0" fillId="0" borderId="19" xfId="0" applyFont="1" applyBorder="1" applyAlignment="1" applyProtection="1">
      <alignment horizontal="center" shrinkToFit="1"/>
      <protection hidden="1"/>
    </xf>
    <xf numFmtId="0" fontId="49" fillId="0" borderId="58" xfId="40" applyBorder="1" applyAlignment="1">
      <alignment horizontal="center"/>
      <protection hidden="1"/>
    </xf>
    <xf numFmtId="0" fontId="49" fillId="0" borderId="19" xfId="40" applyBorder="1" applyAlignment="1">
      <alignment horizontal="center"/>
      <protection hidden="1"/>
    </xf>
    <xf numFmtId="0" fontId="20" fillId="25" borderId="72" xfId="0" applyFont="1" applyFill="1" applyBorder="1" applyAlignment="1" applyProtection="1">
      <alignment horizontal="center" vertical="center"/>
      <protection hidden="1"/>
    </xf>
    <xf numFmtId="0" fontId="20" fillId="25" borderId="70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 shrinkToFit="1"/>
      <protection hidden="1"/>
    </xf>
    <xf numFmtId="0" fontId="0" fillId="0" borderId="55" xfId="0" applyFont="1" applyFill="1" applyBorder="1" applyAlignment="1" applyProtection="1">
      <alignment horizontal="center" vertical="center" shrinkToFit="1"/>
      <protection hidden="1"/>
    </xf>
    <xf numFmtId="0" fontId="20" fillId="32" borderId="73" xfId="0" applyFont="1" applyFill="1" applyBorder="1" applyAlignment="1" applyProtection="1">
      <alignment horizontal="center" vertical="center"/>
      <protection hidden="1"/>
    </xf>
    <xf numFmtId="0" fontId="20" fillId="32" borderId="74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protection hidden="1"/>
    </xf>
    <xf numFmtId="9" fontId="6" fillId="0" borderId="13" xfId="24" applyNumberFormat="1" applyFont="1" applyBorder="1" applyAlignment="1" applyProtection="1">
      <alignment horizontal="center" vertical="center"/>
      <protection hidden="1"/>
    </xf>
    <xf numFmtId="0" fontId="49" fillId="0" borderId="0" xfId="40" applyAlignment="1">
      <alignment horizont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hidden="1"/>
    </xf>
    <xf numFmtId="165" fontId="6" fillId="0" borderId="18" xfId="0" applyNumberFormat="1" applyFont="1" applyFill="1" applyBorder="1" applyAlignment="1" applyProtection="1">
      <alignment vertical="center"/>
      <protection hidden="1"/>
    </xf>
    <xf numFmtId="0" fontId="0" fillId="28" borderId="75" xfId="0" applyFont="1" applyFill="1" applyBorder="1" applyAlignment="1" applyProtection="1">
      <alignment horizontal="center" vertical="center" shrinkToFit="1"/>
      <protection hidden="1"/>
    </xf>
    <xf numFmtId="0" fontId="0" fillId="28" borderId="7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protection hidden="1"/>
    </xf>
    <xf numFmtId="9" fontId="6" fillId="0" borderId="33" xfId="0" applyNumberFormat="1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alignment horizontal="right"/>
      <protection hidden="1"/>
    </xf>
    <xf numFmtId="166" fontId="0" fillId="0" borderId="33" xfId="0" applyNumberFormat="1" applyBorder="1" applyAlignment="1" applyProtection="1">
      <protection hidden="1"/>
    </xf>
    <xf numFmtId="166" fontId="0" fillId="0" borderId="7" xfId="0" applyNumberFormat="1" applyBorder="1" applyAlignment="1" applyProtection="1">
      <protection hidden="1"/>
    </xf>
    <xf numFmtId="166" fontId="0" fillId="0" borderId="6" xfId="0" applyNumberFormat="1" applyBorder="1" applyAlignment="1" applyProtection="1">
      <protection hidden="1"/>
    </xf>
    <xf numFmtId="165" fontId="17" fillId="0" borderId="20" xfId="0" applyNumberFormat="1" applyFont="1" applyBorder="1" applyAlignment="1" applyProtection="1">
      <alignment horizontal="right" vertical="center"/>
      <protection hidden="1"/>
    </xf>
    <xf numFmtId="165" fontId="17" fillId="0" borderId="21" xfId="0" applyNumberFormat="1" applyFont="1" applyBorder="1" applyAlignment="1" applyProtection="1">
      <alignment horizontal="right" vertical="center"/>
      <protection hidden="1"/>
    </xf>
    <xf numFmtId="164" fontId="45" fillId="29" borderId="63" xfId="39" applyNumberFormat="1" applyFill="1" applyBorder="1" applyAlignment="1" applyProtection="1">
      <alignment vertical="center"/>
      <protection hidden="1"/>
    </xf>
    <xf numFmtId="164" fontId="45" fillId="29" borderId="64" xfId="39" applyNumberFormat="1" applyFill="1" applyBorder="1" applyAlignment="1" applyProtection="1">
      <alignment vertical="center"/>
      <protection hidden="1"/>
    </xf>
    <xf numFmtId="166" fontId="0" fillId="0" borderId="50" xfId="0" applyNumberFormat="1" applyBorder="1" applyAlignment="1" applyProtection="1">
      <alignment vertical="center"/>
      <protection hidden="1"/>
    </xf>
    <xf numFmtId="166" fontId="0" fillId="0" borderId="51" xfId="0" applyNumberFormat="1" applyBorder="1" applyAlignment="1" applyProtection="1">
      <alignment vertical="center"/>
      <protection hidden="1"/>
    </xf>
    <xf numFmtId="166" fontId="23" fillId="0" borderId="63" xfId="0" applyNumberFormat="1" applyFont="1" applyBorder="1" applyAlignment="1" applyProtection="1">
      <alignment vertical="center"/>
      <protection hidden="1"/>
    </xf>
    <xf numFmtId="166" fontId="23" fillId="0" borderId="64" xfId="0" applyNumberFormat="1" applyFont="1" applyBorder="1" applyAlignment="1" applyProtection="1">
      <alignment vertical="center"/>
      <protection hidden="1"/>
    </xf>
    <xf numFmtId="165" fontId="45" fillId="0" borderId="65" xfId="39" applyNumberFormat="1" applyBorder="1" applyAlignment="1">
      <alignment horizontal="center" vertical="center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22" xfId="0" applyNumberFormat="1" applyBorder="1" applyAlignment="1" applyProtection="1">
      <alignment vertical="center"/>
      <protection hidden="1"/>
    </xf>
    <xf numFmtId="166" fontId="0" fillId="0" borderId="23" xfId="0" applyNumberFormat="1" applyBorder="1" applyAlignment="1" applyProtection="1">
      <alignment vertical="center"/>
      <protection hidden="1"/>
    </xf>
    <xf numFmtId="166" fontId="0" fillId="0" borderId="26" xfId="0" applyNumberFormat="1" applyBorder="1" applyAlignment="1" applyProtection="1">
      <alignment vertical="center"/>
      <protection hidden="1"/>
    </xf>
    <xf numFmtId="166" fontId="0" fillId="0" borderId="27" xfId="0" applyNumberFormat="1" applyBorder="1" applyAlignment="1" applyProtection="1">
      <alignment vertical="center"/>
      <protection hidden="1"/>
    </xf>
    <xf numFmtId="165" fontId="6" fillId="0" borderId="14" xfId="0" applyNumberFormat="1" applyFont="1" applyBorder="1" applyAlignment="1" applyProtection="1">
      <alignment horizontal="right" vertical="center"/>
      <protection hidden="1"/>
    </xf>
    <xf numFmtId="165" fontId="6" fillId="0" borderId="15" xfId="0" applyNumberFormat="1" applyFont="1" applyBorder="1" applyAlignment="1" applyProtection="1">
      <alignment horizontal="right" vertical="center"/>
      <protection hidden="1"/>
    </xf>
    <xf numFmtId="1" fontId="0" fillId="0" borderId="7" xfId="0" applyNumberFormat="1" applyBorder="1" applyAlignment="1" applyProtection="1">
      <alignment vertical="center"/>
      <protection hidden="1"/>
    </xf>
    <xf numFmtId="1" fontId="0" fillId="0" borderId="6" xfId="0" applyNumberFormat="1" applyBorder="1" applyAlignment="1" applyProtection="1">
      <alignment vertical="center"/>
      <protection hidden="1"/>
    </xf>
    <xf numFmtId="9" fontId="17" fillId="0" borderId="7" xfId="24" applyNumberFormat="1" applyFont="1" applyBorder="1" applyAlignment="1" applyProtection="1">
      <alignment vertical="center"/>
      <protection hidden="1"/>
    </xf>
    <xf numFmtId="9" fontId="17" fillId="0" borderId="6" xfId="24" applyNumberFormat="1" applyFont="1" applyBorder="1" applyAlignment="1" applyProtection="1">
      <alignment vertical="center"/>
      <protection hidden="1"/>
    </xf>
    <xf numFmtId="9" fontId="0" fillId="0" borderId="35" xfId="0" applyNumberFormat="1" applyBorder="1" applyAlignment="1" applyProtection="1">
      <protection hidden="1"/>
    </xf>
    <xf numFmtId="1" fontId="0" fillId="0" borderId="7" xfId="0" applyNumberFormat="1" applyBorder="1" applyAlignment="1" applyProtection="1">
      <protection hidden="1"/>
    </xf>
    <xf numFmtId="1" fontId="0" fillId="0" borderId="6" xfId="0" applyNumberFormat="1" applyBorder="1" applyAlignment="1" applyProtection="1"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protection hidden="1"/>
    </xf>
    <xf numFmtId="1" fontId="28" fillId="0" borderId="0" xfId="0" applyNumberFormat="1" applyFont="1" applyBorder="1" applyAlignment="1" applyProtection="1">
      <protection hidden="1"/>
    </xf>
    <xf numFmtId="9" fontId="6" fillId="0" borderId="7" xfId="0" applyNumberFormat="1" applyFont="1" applyBorder="1" applyAlignment="1" applyProtection="1">
      <alignment horizontal="right"/>
      <protection hidden="1"/>
    </xf>
    <xf numFmtId="9" fontId="6" fillId="0" borderId="6" xfId="0" applyNumberFormat="1" applyFont="1" applyBorder="1" applyAlignment="1" applyProtection="1">
      <alignment horizontal="right"/>
      <protection hidden="1"/>
    </xf>
    <xf numFmtId="166" fontId="0" fillId="0" borderId="56" xfId="0" applyNumberFormat="1" applyBorder="1" applyAlignment="1" applyProtection="1">
      <protection hidden="1"/>
    </xf>
    <xf numFmtId="166" fontId="0" fillId="0" borderId="57" xfId="0" applyNumberFormat="1" applyBorder="1" applyAlignment="1" applyProtection="1"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47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>
      <alignment vertical="center"/>
    </xf>
    <xf numFmtId="165" fontId="17" fillId="0" borderId="18" xfId="0" applyNumberFormat="1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46" xfId="0" applyFont="1" applyBorder="1" applyAlignment="1" applyProtection="1">
      <alignment horizontal="center"/>
      <protection hidden="1"/>
    </xf>
    <xf numFmtId="0" fontId="20" fillId="25" borderId="77" xfId="0" applyFont="1" applyFill="1" applyBorder="1" applyAlignment="1" applyProtection="1">
      <alignment horizontal="center" vertical="center"/>
      <protection hidden="1"/>
    </xf>
    <xf numFmtId="166" fontId="0" fillId="0" borderId="49" xfId="0" applyNumberFormat="1" applyBorder="1" applyAlignment="1" applyProtection="1">
      <alignment vertical="center"/>
      <protection hidden="1"/>
    </xf>
    <xf numFmtId="166" fontId="0" fillId="0" borderId="48" xfId="0" applyNumberFormat="1" applyBorder="1" applyAlignment="1" applyProtection="1">
      <alignment vertical="center"/>
      <protection hidden="1"/>
    </xf>
    <xf numFmtId="166" fontId="23" fillId="0" borderId="65" xfId="0" applyNumberFormat="1" applyFont="1" applyBorder="1" applyAlignment="1" applyProtection="1">
      <alignment vertical="center"/>
      <protection hidden="1"/>
    </xf>
    <xf numFmtId="166" fontId="0" fillId="0" borderId="47" xfId="0" applyNumberFormat="1" applyBorder="1" applyAlignment="1" applyProtection="1">
      <alignment vertical="center"/>
      <protection hidden="1"/>
    </xf>
    <xf numFmtId="9" fontId="6" fillId="0" borderId="7" xfId="24" applyNumberFormat="1" applyBorder="1" applyAlignment="1" applyProtection="1">
      <alignment vertical="center"/>
      <protection hidden="1"/>
    </xf>
    <xf numFmtId="9" fontId="6" fillId="0" borderId="6" xfId="24" applyNumberFormat="1" applyBorder="1" applyAlignment="1" applyProtection="1">
      <alignment vertical="center"/>
      <protection hidden="1"/>
    </xf>
    <xf numFmtId="0" fontId="0" fillId="0" borderId="0" xfId="0" applyAlignment="1"/>
    <xf numFmtId="0" fontId="20" fillId="32" borderId="68" xfId="0" applyFont="1" applyFill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/>
      <protection hidden="1"/>
    </xf>
    <xf numFmtId="166" fontId="0" fillId="0" borderId="21" xfId="0" applyNumberFormat="1" applyBorder="1" applyAlignment="1" applyProtection="1">
      <alignment horizontal="center"/>
      <protection hidden="1"/>
    </xf>
    <xf numFmtId="164" fontId="6" fillId="0" borderId="30" xfId="0" applyNumberFormat="1" applyFont="1" applyBorder="1" applyAlignment="1" applyProtection="1">
      <alignment horizontal="right"/>
      <protection hidden="1"/>
    </xf>
    <xf numFmtId="164" fontId="6" fillId="0" borderId="81" xfId="0" applyNumberFormat="1" applyFont="1" applyBorder="1" applyAlignment="1" applyProtection="1">
      <alignment horizontal="right"/>
      <protection hidden="1"/>
    </xf>
    <xf numFmtId="0" fontId="17" fillId="0" borderId="82" xfId="0" applyFont="1" applyBorder="1" applyAlignment="1" applyProtection="1">
      <alignment horizontal="right"/>
      <protection hidden="1"/>
    </xf>
    <xf numFmtId="0" fontId="17" fillId="0" borderId="83" xfId="0" applyFont="1" applyBorder="1" applyAlignment="1" applyProtection="1">
      <alignment horizontal="right"/>
      <protection hidden="1"/>
    </xf>
    <xf numFmtId="164" fontId="17" fillId="29" borderId="31" xfId="0" applyNumberFormat="1" applyFont="1" applyFill="1" applyBorder="1" applyAlignment="1" applyProtection="1">
      <alignment horizontal="right"/>
      <protection hidden="1"/>
    </xf>
    <xf numFmtId="164" fontId="17" fillId="29" borderId="32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166" fontId="17" fillId="21" borderId="65" xfId="0" applyNumberFormat="1" applyFont="1" applyFill="1" applyBorder="1" applyAlignment="1" applyProtection="1">
      <protection hidden="1"/>
    </xf>
    <xf numFmtId="1" fontId="17" fillId="0" borderId="7" xfId="0" applyNumberFormat="1" applyFont="1" applyBorder="1" applyAlignment="1" applyProtection="1">
      <protection hidden="1"/>
    </xf>
    <xf numFmtId="1" fontId="17" fillId="0" borderId="6" xfId="0" applyNumberFormat="1" applyFont="1" applyBorder="1" applyAlignment="1" applyProtection="1">
      <protection hidden="1"/>
    </xf>
    <xf numFmtId="0" fontId="43" fillId="0" borderId="0" xfId="0" applyFont="1" applyAlignment="1" applyProtection="1">
      <alignment horizontal="center" vertical="top" shrinkToFit="1"/>
      <protection hidden="1"/>
    </xf>
    <xf numFmtId="0" fontId="23" fillId="28" borderId="80" xfId="0" applyFont="1" applyFill="1" applyBorder="1" applyAlignment="1" applyProtection="1">
      <alignment horizontal="center" vertical="center" shrinkToFit="1"/>
      <protection hidden="1"/>
    </xf>
    <xf numFmtId="0" fontId="23" fillId="28" borderId="76" xfId="0" applyFont="1" applyFill="1" applyBorder="1" applyAlignment="1" applyProtection="1">
      <alignment horizontal="center" vertical="center" shrinkToFit="1"/>
      <protection hidden="1"/>
    </xf>
    <xf numFmtId="166" fontId="0" fillId="0" borderId="58" xfId="0" applyNumberFormat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166" fontId="17" fillId="0" borderId="87" xfId="0" applyNumberFormat="1" applyFont="1" applyBorder="1" applyAlignment="1" applyProtection="1">
      <protection hidden="1"/>
    </xf>
    <xf numFmtId="166" fontId="17" fillId="0" borderId="88" xfId="0" applyNumberFormat="1" applyFont="1" applyBorder="1" applyAlignment="1" applyProtection="1">
      <protection hidden="1"/>
    </xf>
    <xf numFmtId="166" fontId="0" fillId="0" borderId="40" xfId="0" applyNumberFormat="1" applyBorder="1" applyAlignment="1" applyProtection="1">
      <protection hidden="1"/>
    </xf>
    <xf numFmtId="166" fontId="0" fillId="0" borderId="41" xfId="0" applyNumberFormat="1" applyBorder="1" applyAlignment="1" applyProtection="1">
      <protection hidden="1"/>
    </xf>
    <xf numFmtId="164" fontId="0" fillId="0" borderId="22" xfId="0" applyNumberFormat="1" applyBorder="1" applyAlignment="1" applyProtection="1">
      <alignment horizontal="right"/>
      <protection hidden="1"/>
    </xf>
    <xf numFmtId="164" fontId="0" fillId="0" borderId="23" xfId="0" applyNumberFormat="1" applyBorder="1" applyAlignment="1" applyProtection="1">
      <alignment horizontal="right"/>
      <protection hidden="1"/>
    </xf>
    <xf numFmtId="164" fontId="0" fillId="0" borderId="7" xfId="0" applyNumberFormat="1" applyBorder="1" applyAlignment="1" applyProtection="1">
      <alignment horizontal="right"/>
      <protection hidden="1"/>
    </xf>
    <xf numFmtId="164" fontId="0" fillId="0" borderId="6" xfId="0" applyNumberFormat="1" applyBorder="1" applyAlignment="1" applyProtection="1">
      <alignment horizontal="right"/>
      <protection hidden="1"/>
    </xf>
    <xf numFmtId="164" fontId="0" fillId="0" borderId="38" xfId="0" applyNumberFormat="1" applyBorder="1" applyAlignment="1" applyProtection="1">
      <alignment horizontal="right"/>
      <protection hidden="1"/>
    </xf>
    <xf numFmtId="164" fontId="0" fillId="0" borderId="39" xfId="0" applyNumberFormat="1" applyBorder="1" applyAlignment="1" applyProtection="1">
      <alignment horizontal="right"/>
      <protection hidden="1"/>
    </xf>
    <xf numFmtId="166" fontId="17" fillId="21" borderId="84" xfId="0" applyNumberFormat="1" applyFont="1" applyFill="1" applyBorder="1" applyAlignment="1" applyProtection="1">
      <protection hidden="1"/>
    </xf>
    <xf numFmtId="166" fontId="17" fillId="21" borderId="85" xfId="0" applyNumberFormat="1" applyFont="1" applyFill="1" applyBorder="1" applyAlignment="1" applyProtection="1"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164" fontId="0" fillId="0" borderId="28" xfId="0" applyNumberFormat="1" applyBorder="1" applyAlignment="1" applyProtection="1">
      <alignment horizontal="right"/>
      <protection hidden="1"/>
    </xf>
    <xf numFmtId="164" fontId="0" fillId="0" borderId="11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164" fontId="0" fillId="0" borderId="36" xfId="0" applyNumberFormat="1" applyBorder="1" applyAlignment="1" applyProtection="1">
      <alignment horizontal="right"/>
      <protection hidden="1"/>
    </xf>
    <xf numFmtId="164" fontId="0" fillId="0" borderId="37" xfId="0" applyNumberFormat="1" applyBorder="1" applyAlignment="1" applyProtection="1">
      <alignment horizontal="right"/>
      <protection hidden="1"/>
    </xf>
    <xf numFmtId="166" fontId="0" fillId="0" borderId="44" xfId="0" applyNumberFormat="1" applyBorder="1" applyAlignment="1" applyProtection="1">
      <protection hidden="1"/>
    </xf>
    <xf numFmtId="166" fontId="0" fillId="0" borderId="45" xfId="0" applyNumberFormat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9" fontId="20" fillId="30" borderId="86" xfId="0" applyNumberFormat="1" applyFont="1" applyFill="1" applyBorder="1" applyAlignment="1" applyProtection="1">
      <alignment horizontal="center" vertical="center"/>
      <protection hidden="1"/>
    </xf>
    <xf numFmtId="9" fontId="20" fillId="31" borderId="17" xfId="0" applyNumberFormat="1" applyFont="1" applyFill="1" applyBorder="1" applyAlignment="1" applyProtection="1">
      <alignment horizontal="center" vertical="center"/>
      <protection hidden="1"/>
    </xf>
    <xf numFmtId="0" fontId="20" fillId="31" borderId="17" xfId="0" applyFont="1" applyFill="1" applyBorder="1" applyAlignment="1" applyProtection="1">
      <alignment horizontal="center" vertical="center"/>
      <protection hidden="1"/>
    </xf>
    <xf numFmtId="166" fontId="0" fillId="0" borderId="42" xfId="0" applyNumberFormat="1" applyBorder="1" applyAlignment="1" applyProtection="1">
      <protection hidden="1"/>
    </xf>
    <xf numFmtId="166" fontId="0" fillId="0" borderId="43" xfId="0" applyNumberFormat="1" applyBorder="1" applyAlignment="1" applyProtection="1">
      <protection hidden="1"/>
    </xf>
    <xf numFmtId="0" fontId="6" fillId="16" borderId="14" xfId="0" applyNumberFormat="1" applyFont="1" applyFill="1" applyBorder="1" applyAlignment="1" applyProtection="1">
      <alignment horizontal="center"/>
      <protection locked="0" hidden="1"/>
    </xf>
    <xf numFmtId="0" fontId="6" fillId="16" borderId="15" xfId="0" applyNumberFormat="1" applyFont="1" applyFill="1" applyBorder="1" applyAlignment="1" applyProtection="1">
      <alignment horizontal="center"/>
      <protection locked="0" hidden="1"/>
    </xf>
    <xf numFmtId="165" fontId="17" fillId="16" borderId="14" xfId="0" applyNumberFormat="1" applyFont="1" applyFill="1" applyBorder="1" applyAlignment="1" applyProtection="1">
      <alignment horizontal="center"/>
      <protection locked="0" hidden="1"/>
    </xf>
    <xf numFmtId="165" fontId="17" fillId="16" borderId="15" xfId="0" applyNumberFormat="1" applyFont="1" applyFill="1" applyBorder="1" applyAlignment="1" applyProtection="1">
      <alignment horizontal="center"/>
      <protection locked="0"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9" fontId="6" fillId="16" borderId="59" xfId="0" applyNumberFormat="1" applyFont="1" applyFill="1" applyBorder="1" applyAlignment="1" applyProtection="1">
      <alignment horizontal="center"/>
      <protection locked="0" hidden="1"/>
    </xf>
    <xf numFmtId="9" fontId="6" fillId="16" borderId="15" xfId="0" applyNumberFormat="1" applyFont="1" applyFill="1" applyBorder="1" applyAlignment="1" applyProtection="1">
      <alignment horizontal="center"/>
      <protection locked="0" hidden="1"/>
    </xf>
    <xf numFmtId="9" fontId="0" fillId="0" borderId="14" xfId="0" applyNumberFormat="1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20" fillId="26" borderId="14" xfId="0" applyFont="1" applyFill="1" applyBorder="1" applyAlignment="1" applyProtection="1">
      <alignment horizontal="center" vertical="center"/>
      <protection locked="0" hidden="1"/>
    </xf>
    <xf numFmtId="0" fontId="20" fillId="26" borderId="15" xfId="0" applyFont="1" applyFill="1" applyBorder="1" applyAlignment="1" applyProtection="1">
      <alignment horizontal="center" vertical="center"/>
      <protection locked="0" hidden="1"/>
    </xf>
    <xf numFmtId="0" fontId="20" fillId="32" borderId="14" xfId="0" applyFont="1" applyFill="1" applyBorder="1" applyAlignment="1" applyProtection="1">
      <alignment horizontal="center" vertical="center"/>
      <protection locked="0" hidden="1"/>
    </xf>
    <xf numFmtId="0" fontId="20" fillId="32" borderId="15" xfId="0" applyFont="1" applyFill="1" applyBorder="1" applyAlignment="1" applyProtection="1">
      <alignment horizontal="center" vertical="center"/>
      <protection locked="0" hidden="1"/>
    </xf>
    <xf numFmtId="0" fontId="20" fillId="25" borderId="14" xfId="0" applyFont="1" applyFill="1" applyBorder="1" applyAlignment="1" applyProtection="1">
      <alignment horizontal="center" vertical="center"/>
      <protection locked="0" hidden="1"/>
    </xf>
    <xf numFmtId="0" fontId="20" fillId="25" borderId="15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165" fontId="6" fillId="0" borderId="13" xfId="0" applyNumberFormat="1" applyFont="1" applyFill="1" applyBorder="1" applyAlignment="1" applyProtection="1">
      <alignment horizontal="right"/>
      <protection hidden="1"/>
    </xf>
    <xf numFmtId="166" fontId="0" fillId="0" borderId="78" xfId="0" applyNumberFormat="1" applyBorder="1" applyAlignment="1" applyProtection="1">
      <alignment vertical="center"/>
      <protection hidden="1"/>
    </xf>
    <xf numFmtId="166" fontId="0" fillId="0" borderId="79" xfId="0" applyNumberFormat="1" applyBorder="1" applyAlignment="1" applyProtection="1">
      <alignment vertical="center"/>
      <protection hidden="1"/>
    </xf>
    <xf numFmtId="166" fontId="0" fillId="0" borderId="24" xfId="0" applyNumberFormat="1" applyBorder="1" applyAlignment="1" applyProtection="1">
      <alignment vertical="center"/>
      <protection hidden="1"/>
    </xf>
    <xf numFmtId="166" fontId="0" fillId="0" borderId="25" xfId="0" applyNumberFormat="1" applyBorder="1" applyAlignment="1" applyProtection="1">
      <alignment vertical="center"/>
      <protection hidden="1"/>
    </xf>
    <xf numFmtId="0" fontId="44" fillId="0" borderId="0" xfId="0" applyFont="1" applyBorder="1" applyAlignment="1" applyProtection="1">
      <alignment horizontal="center" vertical="top"/>
      <protection hidden="1"/>
    </xf>
    <xf numFmtId="0" fontId="49" fillId="0" borderId="0" xfId="40" applyAlignment="1" applyProtection="1">
      <alignment horizont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32" borderId="13" xfId="0" applyFont="1" applyFill="1" applyBorder="1" applyAlignment="1" applyProtection="1">
      <alignment horizontal="center" vertical="center"/>
      <protection hidden="1"/>
    </xf>
    <xf numFmtId="0" fontId="20" fillId="27" borderId="13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shrinkToFit="1"/>
      <protection hidden="1"/>
    </xf>
    <xf numFmtId="166" fontId="17" fillId="21" borderId="34" xfId="0" applyNumberFormat="1" applyFont="1" applyFill="1" applyBorder="1" applyAlignment="1" applyProtection="1">
      <alignment vertical="center"/>
      <protection hidden="1"/>
    </xf>
    <xf numFmtId="166" fontId="17" fillId="0" borderId="52" xfId="0" applyNumberFormat="1" applyFont="1" applyFill="1" applyBorder="1" applyAlignment="1" applyProtection="1">
      <alignment horizontal="right" vertical="center"/>
      <protection hidden="1"/>
    </xf>
    <xf numFmtId="166" fontId="17" fillId="0" borderId="5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right" vertical="center" shrinkToFit="1"/>
      <protection hidden="1"/>
    </xf>
    <xf numFmtId="0" fontId="31" fillId="0" borderId="13" xfId="0" applyFont="1" applyFill="1" applyBorder="1" applyAlignment="1" applyProtection="1">
      <alignment horizontal="center"/>
      <protection hidden="1"/>
    </xf>
    <xf numFmtId="0" fontId="20" fillId="32" borderId="92" xfId="0" applyFont="1" applyFill="1" applyBorder="1" applyAlignment="1" applyProtection="1">
      <alignment horizontal="center" vertical="center" shrinkToFit="1"/>
      <protection hidden="1"/>
    </xf>
    <xf numFmtId="0" fontId="20" fillId="32" borderId="17" xfId="0" applyFont="1" applyFill="1" applyBorder="1" applyAlignment="1" applyProtection="1">
      <alignment horizontal="center" vertical="center" shrinkToFit="1"/>
      <protection hidden="1"/>
    </xf>
    <xf numFmtId="0" fontId="20" fillId="32" borderId="15" xfId="0" applyFont="1" applyFill="1" applyBorder="1" applyAlignment="1" applyProtection="1">
      <alignment horizontal="center" vertical="center" shrinkToFit="1"/>
      <protection hidden="1"/>
    </xf>
    <xf numFmtId="0" fontId="40" fillId="22" borderId="18" xfId="0" applyFont="1" applyFill="1" applyBorder="1" applyAlignment="1">
      <alignment horizontal="center" vertical="center" wrapText="1"/>
    </xf>
    <xf numFmtId="0" fontId="40" fillId="22" borderId="89" xfId="0" applyFont="1" applyFill="1" applyBorder="1" applyAlignment="1">
      <alignment horizontal="center" vertical="center" wrapText="1"/>
    </xf>
    <xf numFmtId="0" fontId="40" fillId="22" borderId="20" xfId="0" applyFont="1" applyFill="1" applyBorder="1" applyAlignment="1">
      <alignment horizontal="center" vertical="center" wrapText="1"/>
    </xf>
    <xf numFmtId="0" fontId="40" fillId="22" borderId="47" xfId="0" applyFont="1" applyFill="1" applyBorder="1" applyAlignment="1">
      <alignment horizontal="center" vertical="center" wrapText="1"/>
    </xf>
    <xf numFmtId="0" fontId="40" fillId="22" borderId="21" xfId="0" applyFont="1" applyFill="1" applyBorder="1" applyAlignment="1">
      <alignment horizontal="center" vertical="center" wrapText="1"/>
    </xf>
    <xf numFmtId="0" fontId="40" fillId="22" borderId="90" xfId="0" applyFont="1" applyFill="1" applyBorder="1" applyAlignment="1">
      <alignment horizontal="center" vertical="center" wrapText="1"/>
    </xf>
    <xf numFmtId="0" fontId="40" fillId="22" borderId="91" xfId="0" applyFont="1" applyFill="1" applyBorder="1" applyAlignment="1">
      <alignment horizontal="center" vertical="center" wrapText="1"/>
    </xf>
    <xf numFmtId="0" fontId="40" fillId="22" borderId="67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 shrinkToFit="1"/>
    </xf>
  </cellXfs>
  <cellStyles count="52">
    <cellStyle name="(A1)" xfId="40"/>
    <cellStyle name="A blau ohne Rahmen" xfId="1"/>
    <cellStyle name="A grün ohne Rahmen" xfId="2"/>
    <cellStyle name="A ohne Rahmen" xfId="3"/>
    <cellStyle name="A Rahmen oben" xfId="4"/>
    <cellStyle name="B rot ohne Rahmen" xfId="5"/>
    <cellStyle name="B rot Rahmen oben" xfId="6"/>
    <cellStyle name="Beruf gelb ohne Rahmen" xfId="7"/>
    <cellStyle name="Beruf gelb Rahmen oben" xfId="8"/>
    <cellStyle name="Besuchter Hyperlink" xfId="43" builtinId="9" hidden="1"/>
    <cellStyle name="Besuchter Hyperlink" xfId="44" builtinId="9" hidden="1"/>
    <cellStyle name="Besuchter Hyperlink" xfId="41" builtinId="9" hidden="1"/>
    <cellStyle name="Besuchter Hyperlink" xfId="38" builtinId="9" hidden="1"/>
    <cellStyle name="Besuchter Hyperlink" xfId="47" builtinId="9" hidden="1"/>
    <cellStyle name="Besuchter Hyperlink" xfId="48" builtinId="9" hidden="1"/>
    <cellStyle name="Besuchter Hyperlink" xfId="42" builtinId="9" hidden="1"/>
    <cellStyle name="Besuchter Hyperlink" xfId="46" builtinId="9" hidden="1"/>
    <cellStyle name="Besuchter Hyperlink" xfId="45" builtinId="9" hidden="1"/>
    <cellStyle name="Besuchter Hyperlink" xfId="50" builtinId="9" hidden="1"/>
    <cellStyle name="blau 2x Vater" xfId="9"/>
    <cellStyle name="blau Vater" xfId="10"/>
    <cellStyle name="cf1" xfId="11"/>
    <cellStyle name="cf10" xfId="12"/>
    <cellStyle name="cf2" xfId="13"/>
    <cellStyle name="cf3" xfId="14"/>
    <cellStyle name="cf4" xfId="15"/>
    <cellStyle name="cf5" xfId="16"/>
    <cellStyle name="cf6" xfId="17"/>
    <cellStyle name="cf7" xfId="18"/>
    <cellStyle name="cf8" xfId="19"/>
    <cellStyle name="cf9" xfId="20"/>
    <cellStyle name="Ergebnis" xfId="39" builtinId="25"/>
    <cellStyle name="gelb" xfId="21"/>
    <cellStyle name="Link" xfId="37" builtinId="8"/>
    <cellStyle name="Mutter rot ohne Rahmen" xfId="22"/>
    <cellStyle name="Mutter rot Rahmen oben" xfId="23"/>
    <cellStyle name="Prozent" xfId="24" builtinId="5"/>
    <cellStyle name="Rahmen oben" xfId="25"/>
    <cellStyle name="Rahmen ohne" xfId="26"/>
    <cellStyle name="Rahmen und Währung" xfId="51"/>
    <cellStyle name="Rot Warnmeldung" xfId="27"/>
    <cellStyle name="schule grün 2x" xfId="28"/>
    <cellStyle name="Schule grün ohne Rahmen" xfId="29"/>
    <cellStyle name="Schule grün Rahmen oben" xfId="30"/>
    <cellStyle name="Schule ohne Rahmen" xfId="31"/>
    <cellStyle name="Schule Rahmen oben" xfId="32"/>
    <cellStyle name="Standard" xfId="0" builtinId="0"/>
    <cellStyle name="Test Rahmen" xfId="33"/>
    <cellStyle name="Vater blau ohne Rahmen" xfId="34"/>
    <cellStyle name="Vater blau Rahmen oben" xfId="35"/>
    <cellStyle name="Währung" xfId="49" builtinId="4"/>
    <cellStyle name="Warnhinweis" xfId="36"/>
  </cellStyles>
  <dxfs count="32">
    <dxf>
      <font>
        <color theme="2" tint="-9.9948118533890809E-2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9.9948118533890809E-2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0"/>
        <color rgb="FFFF3300"/>
        <name val="Calibri Light"/>
        <scheme val="none"/>
      </font>
      <fill>
        <patternFill patternType="solid">
          <fgColor indexed="40"/>
          <bgColor rgb="FFFF330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>
      <font>
        <sz val="10"/>
        <color rgb="FF00FFFF"/>
      </font>
      <fill>
        <patternFill patternType="solid">
          <fgColor indexed="15"/>
          <bgColor rgb="FF00FFFF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>
      <font>
        <sz val="10"/>
        <color rgb="FF00FFFF"/>
      </font>
      <fill>
        <patternFill patternType="solid">
          <fgColor indexed="15"/>
          <bgColor rgb="FF00FFFF"/>
        </patternFill>
      </fill>
      <border>
        <left style="thin">
          <color indexed="8"/>
        </left>
        <right style="thin">
          <color indexed="8"/>
        </right>
        <top/>
        <bottom/>
      </border>
    </dxf>
    <dxf>
      <font>
        <sz val="10"/>
        <color rgb="FF92D050"/>
        <name val="Calibri Light"/>
        <scheme val="none"/>
      </font>
      <fill>
        <patternFill patternType="solid">
          <fgColor rgb="FFFF00FF"/>
          <bgColor rgb="FF92D050"/>
        </patternFill>
      </fill>
      <border>
        <left style="thin">
          <color indexed="8"/>
        </left>
        <right style="thin">
          <color indexed="8"/>
        </right>
        <top/>
        <bottom/>
      </border>
    </dxf>
    <dxf>
      <font>
        <sz val="10"/>
        <color rgb="FF92D050"/>
        <name val="Calibri Light"/>
        <scheme val="none"/>
      </font>
      <fill>
        <patternFill patternType="solid">
          <fgColor theme="9"/>
          <bgColor rgb="FF92D05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>
      <font>
        <sz val="10"/>
        <color rgb="FFFF3300"/>
        <name val="Calibri Light"/>
        <scheme val="none"/>
      </font>
      <fill>
        <patternFill patternType="solid">
          <fgColor indexed="40"/>
          <bgColor rgb="FFFF3300"/>
        </patternFill>
      </fill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condense val="0"/>
        <extend val="0"/>
        <sz val="10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condense val="0"/>
        <extend val="0"/>
        <sz val="10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CC6633"/>
      <rgbColor rgb="00800080"/>
      <rgbColor rgb="00008080"/>
      <rgbColor rgb="00B3B3B3"/>
      <rgbColor rgb="00808080"/>
      <rgbColor rgb="005B9BD5"/>
      <rgbColor rgb="00993366"/>
      <rgbColor rgb="00E6E6E6"/>
      <rgbColor rgb="00DAE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66FFFF"/>
      <rgbColor rgb="00FF99CC"/>
      <rgbColor rgb="00FF99FF"/>
      <rgbColor rgb="00FFCC99"/>
      <rgbColor rgb="003366FF"/>
      <rgbColor rgb="0000B0F0"/>
      <rgbColor rgb="0066FF00"/>
      <rgbColor rgb="00FFCC00"/>
      <rgbColor rgb="00FF6633"/>
      <rgbColor rgb="00FF6600"/>
      <rgbColor rgb="00666699"/>
      <rgbColor rgb="00969696"/>
      <rgbColor rgb="00003366"/>
      <rgbColor rgb="00339966"/>
      <rgbColor rgb="00003300"/>
      <rgbColor rgb="00333300"/>
      <rgbColor rgb="00C55A11"/>
      <rgbColor rgb="00FF3333"/>
      <rgbColor rgb="00333399"/>
      <rgbColor rgb="00333333"/>
    </indexedColors>
    <mruColors>
      <color rgb="FFFFFD78"/>
      <color rgb="FFFF3300"/>
      <color rgb="FF00FFFF"/>
      <color rgb="FFFF6600"/>
      <color rgb="FFFF0000"/>
      <color rgb="FFFF00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07678299968098E-2"/>
          <c:y val="4.1966955963731602E-2"/>
          <c:w val="0.49115686378258799"/>
          <c:h val="0.860349932256730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2060"/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09-4033-8775-A039F9A40935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09-4033-8775-A039F9A40935}"/>
              </c:ext>
            </c:extLst>
          </c:dPt>
          <c:dPt>
            <c:idx val="2"/>
            <c:bubble3D val="0"/>
            <c:spPr>
              <a:solidFill>
                <a:srgbClr val="00FFFF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09-4033-8775-A039F9A4093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09-4033-8775-A039F9A40935}"/>
                </c:ext>
                <c:ext xmlns:c15="http://schemas.microsoft.com/office/drawing/2012/chart" uri="{CE6537A1-D6FC-4f65-9D91-7224C49458BB}">
                  <c15:layout>
                    <c:manualLayout>
                      <c:w val="0.41008482273534802"/>
                      <c:h val="0.17488178921316699"/>
                    </c:manualLayout>
                  </c15:layout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09-4033-8775-A039F9A40935}"/>
                </c:ext>
                <c:ext xmlns:c15="http://schemas.microsoft.com/office/drawing/2012/chart" uri="{CE6537A1-D6FC-4f65-9D91-7224C49458BB}">
                  <c15:layout>
                    <c:manualLayout>
                      <c:w val="0.33278827975458802"/>
                      <c:h val="0.297368327416205"/>
                    </c:manualLayout>
                  </c15:layout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09-4033-8775-A039F9A40935}"/>
                </c:ext>
                <c:ext xmlns:c15="http://schemas.microsoft.com/office/drawing/2012/chart" uri="{CE6537A1-D6FC-4f65-9D91-7224C49458BB}">
                  <c15:layout>
                    <c:manualLayout>
                      <c:w val="0.249622315196386"/>
                      <c:h val="0.29736832741620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Graphik!$A$38:$C$38</c:f>
              <c:strCache>
                <c:ptCount val="3"/>
                <c:pt idx="0">
                  <c:v>Elternteil A</c:v>
                </c:pt>
                <c:pt idx="1">
                  <c:v>Elternteil B</c:v>
                </c:pt>
                <c:pt idx="2">
                  <c:v>Staat</c:v>
                </c:pt>
              </c:strCache>
            </c:strRef>
          </c:cat>
          <c:val>
            <c:numRef>
              <c:f>Graphik!$A$39:$C$39</c:f>
              <c:numCache>
                <c:formatCode>"€"#,##0_);[Red]\("€"#,##0\)</c:formatCode>
                <c:ptCount val="3"/>
                <c:pt idx="0">
                  <c:v>274.02991776987227</c:v>
                </c:pt>
                <c:pt idx="1">
                  <c:v>422.52032425497168</c:v>
                </c:pt>
                <c:pt idx="2">
                  <c:v>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09-4033-8775-A039F9A4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51695470995981097"/>
          <c:y val="3.1776463551342601E-2"/>
          <c:w val="0.47472851016620099"/>
          <c:h val="0.92240922349863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415197118201"/>
          <c:y val="8.2406962613047294E-2"/>
          <c:w val="0.84487484881924102"/>
          <c:h val="0.81739384994662001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635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C0-4385-89D8-EDAF15A1D82F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C0-4385-89D8-EDAF15A1D82F}"/>
              </c:ext>
            </c:extLst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C0-4385-89D8-EDAF15A1D82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C0-4385-89D8-EDAF15A1D82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'Rosenheimer Modell'!$D$72:$D$73</c:f>
              <c:numCache>
                <c:formatCode>General</c:formatCode>
                <c:ptCount val="2"/>
              </c:numCache>
            </c:numRef>
          </c:cat>
          <c:val>
            <c:numRef>
              <c:f>'Rosenheimer Modell'!$E$72:$E$73</c:f>
              <c:numCache>
                <c:formatCode>0%</c:formatCode>
                <c:ptCount val="2"/>
                <c:pt idx="0">
                  <c:v>0.59342742170642093</c:v>
                </c:pt>
                <c:pt idx="1">
                  <c:v>0.40657257829357907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C0-4385-89D8-EDAF15A1D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96" footer="0.51180555555555596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48381566118698E-2"/>
          <c:y val="2.4305823202798799E-2"/>
          <c:w val="0.84814302157187904"/>
          <c:h val="0.92254088475683005"/>
        </c:manualLayout>
      </c:layout>
      <c:pieChart>
        <c:varyColors val="1"/>
        <c:ser>
          <c:idx val="0"/>
          <c:order val="0"/>
          <c:spPr>
            <a:solidFill>
              <a:srgbClr val="66FFFF"/>
            </a:solidFill>
            <a:ln w="6350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8C-4839-9D43-A68631A72F7B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8C-4839-9D43-A68631A72F7B}"/>
              </c:ext>
            </c:extLst>
          </c:dPt>
          <c:dPt>
            <c:idx val="2"/>
            <c:bubble3D val="0"/>
            <c:spPr>
              <a:solidFill>
                <a:srgbClr val="00FFFF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8C-4839-9D43-A68631A72F7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08C-4839-9D43-A68631A72F7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08C-4839-9D43-A68631A72F7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08C-4839-9D43-A68631A72F7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 w="25400">
                <a:noFill/>
              </a:ln>
            </c:spPr>
            <c:txPr>
              <a:bodyPr wrap="non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'Rosenheimer Modell'!$C$64:$C$66</c:f>
              <c:strCache>
                <c:ptCount val="3"/>
                <c:pt idx="0">
                  <c:v>Elternteil A</c:v>
                </c:pt>
                <c:pt idx="1">
                  <c:v>Elternteil B</c:v>
                </c:pt>
                <c:pt idx="2">
                  <c:v>Staat</c:v>
                </c:pt>
              </c:strCache>
            </c:strRef>
          </c:cat>
          <c:val>
            <c:numRef>
              <c:f>'Rosenheimer Modell'!$E$64:$E$66</c:f>
              <c:numCache>
                <c:formatCode>0%</c:formatCode>
                <c:ptCount val="3"/>
                <c:pt idx="0">
                  <c:v>0.49782289628180043</c:v>
                </c:pt>
                <c:pt idx="1">
                  <c:v>0.34107142857142864</c:v>
                </c:pt>
                <c:pt idx="2">
                  <c:v>0.16110567514677104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8C-4839-9D43-A68631A7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96" footer="0.51180555555555596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06646525679803E-2"/>
          <c:y val="0.16214563419012701"/>
          <c:w val="0.81722054380664599"/>
          <c:h val="0.57480370505839296"/>
        </c:manualLayout>
      </c:layout>
      <c:lineChart>
        <c:grouping val="standard"/>
        <c:varyColors val="0"/>
        <c:ser>
          <c:idx val="0"/>
          <c:order val="0"/>
          <c:tx>
            <c:strRef>
              <c:f>Graphik!$G$4</c:f>
              <c:strCache>
                <c:ptCount val="1"/>
                <c:pt idx="0">
                  <c:v>Elternteil A Rosenheimer Modell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olid"/>
            </a:ln>
          </c:spPr>
          <c:marker>
            <c:symbol val="none"/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Graphik!$B$42:$B$62</c:f>
              <c:numCache>
                <c:formatCode>0%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0.60000000000000009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</c:numCache>
            </c:numRef>
          </c:cat>
          <c:val>
            <c:numRef>
              <c:f>Graphik!$C$42:$C$62</c:f>
              <c:numCache>
                <c:formatCode>0</c:formatCode>
                <c:ptCount val="21"/>
                <c:pt idx="0">
                  <c:v>1357.9444444444443</c:v>
                </c:pt>
                <c:pt idx="1">
                  <c:v>1218.2574999999999</c:v>
                </c:pt>
                <c:pt idx="2">
                  <c:v>1082.58</c:v>
                </c:pt>
                <c:pt idx="3">
                  <c:v>950.91194444444454</c:v>
                </c:pt>
                <c:pt idx="4">
                  <c:v>823.25333333333356</c:v>
                </c:pt>
                <c:pt idx="5">
                  <c:v>699.60416666666674</c:v>
                </c:pt>
                <c:pt idx="6">
                  <c:v>579.96444444444433</c:v>
                </c:pt>
                <c:pt idx="7">
                  <c:v>464.33416666666676</c:v>
                </c:pt>
                <c:pt idx="8">
                  <c:v>352.7133333333332</c:v>
                </c:pt>
                <c:pt idx="9">
                  <c:v>245.1019444444446</c:v>
                </c:pt>
                <c:pt idx="10">
                  <c:v>141.5</c:v>
                </c:pt>
                <c:pt idx="11">
                  <c:v>40.608888888888913</c:v>
                </c:pt>
                <c:pt idx="12">
                  <c:v>-63.453333333333262</c:v>
                </c:pt>
                <c:pt idx="13">
                  <c:v>-170.68666666666672</c:v>
                </c:pt>
                <c:pt idx="14">
                  <c:v>-281.0911111111111</c:v>
                </c:pt>
                <c:pt idx="15">
                  <c:v>-394.66666666666663</c:v>
                </c:pt>
                <c:pt idx="16">
                  <c:v>-511.41333333333341</c:v>
                </c:pt>
                <c:pt idx="17">
                  <c:v>-631.33111111111111</c:v>
                </c:pt>
                <c:pt idx="18">
                  <c:v>-754.42</c:v>
                </c:pt>
                <c:pt idx="19">
                  <c:v>-880.67999999999984</c:v>
                </c:pt>
                <c:pt idx="20">
                  <c:v>-1010.1111111111111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6-4792-B563-9BA1FAC372E8}"/>
            </c:ext>
          </c:extLst>
        </c:ser>
        <c:ser>
          <c:idx val="1"/>
          <c:order val="1"/>
          <c:tx>
            <c:strRef>
              <c:f>Graphik!$H$4</c:f>
              <c:strCache>
                <c:ptCount val="1"/>
                <c:pt idx="0">
                  <c:v>Elternteil B Rosenheimer Modell</c:v>
                </c:pt>
              </c:strCache>
            </c:strRef>
          </c:tx>
          <c:spPr>
            <a:ln w="38100">
              <a:solidFill>
                <a:srgbClr val="FF33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AE6-4792-B563-9BA1FAC372E8}"/>
              </c:ext>
            </c:extLst>
          </c:dPt>
          <c:dLbls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E6-4792-B563-9BA1FAC372E8}"/>
                </c:ext>
                <c:ext xmlns:c15="http://schemas.microsoft.com/office/drawing/2012/chart" uri="{CE6537A1-D6FC-4f65-9D91-7224C49458BB}"/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Graphik!$B$42:$B$62</c:f>
              <c:numCache>
                <c:formatCode>0%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0.60000000000000009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</c:numCache>
            </c:numRef>
          </c:cat>
          <c:val>
            <c:numRef>
              <c:f>Graphik!$D$42:$D$62</c:f>
              <c:numCache>
                <c:formatCode>0</c:formatCode>
                <c:ptCount val="21"/>
                <c:pt idx="0">
                  <c:v>-1093.9444444444443</c:v>
                </c:pt>
                <c:pt idx="1">
                  <c:v>-954.25749999999994</c:v>
                </c:pt>
                <c:pt idx="2">
                  <c:v>-818.58</c:v>
                </c:pt>
                <c:pt idx="3">
                  <c:v>-686.91194444444443</c:v>
                </c:pt>
                <c:pt idx="4">
                  <c:v>-559.25333333333333</c:v>
                </c:pt>
                <c:pt idx="5">
                  <c:v>-435.60416666666669</c:v>
                </c:pt>
                <c:pt idx="6">
                  <c:v>-315.9644444444445</c:v>
                </c:pt>
                <c:pt idx="7">
                  <c:v>-200.3341666666667</c:v>
                </c:pt>
                <c:pt idx="8">
                  <c:v>-88.713333333333324</c:v>
                </c:pt>
                <c:pt idx="9">
                  <c:v>18.89805555555559</c:v>
                </c:pt>
                <c:pt idx="10">
                  <c:v>122.5</c:v>
                </c:pt>
                <c:pt idx="11">
                  <c:v>223.39111111111114</c:v>
                </c:pt>
                <c:pt idx="12">
                  <c:v>327.45333333333326</c:v>
                </c:pt>
                <c:pt idx="13">
                  <c:v>434.68666666666672</c:v>
                </c:pt>
                <c:pt idx="14">
                  <c:v>545.0911111111111</c:v>
                </c:pt>
                <c:pt idx="15">
                  <c:v>658.66666666666663</c:v>
                </c:pt>
                <c:pt idx="16">
                  <c:v>775.41333333333341</c:v>
                </c:pt>
                <c:pt idx="17">
                  <c:v>895.331111111111</c:v>
                </c:pt>
                <c:pt idx="18">
                  <c:v>1018.4200000000002</c:v>
                </c:pt>
                <c:pt idx="19">
                  <c:v>1144.68</c:v>
                </c:pt>
                <c:pt idx="20">
                  <c:v>1274.1111111111111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6-4792-B563-9BA1FAC372E8}"/>
            </c:ext>
          </c:extLst>
        </c:ser>
        <c:ser>
          <c:idx val="2"/>
          <c:order val="2"/>
          <c:tx>
            <c:strRef>
              <c:f>Graphik!$I$4</c:f>
              <c:strCache>
                <c:ptCount val="1"/>
                <c:pt idx="0">
                  <c:v>Elternteil A Residenz Modell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AE6-4792-B563-9BA1FAC372E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AE6-4792-B563-9BA1FAC372E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AE6-4792-B563-9BA1FAC372E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BAE6-4792-B563-9BA1FAC372E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AE6-4792-B563-9BA1FAC372E8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BAE6-4792-B563-9BA1FAC372E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AE6-4792-B563-9BA1FAC372E8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BAE6-4792-B563-9BA1FAC372E8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AE6-4792-B563-9BA1FAC372E8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BAE6-4792-B563-9BA1FAC372E8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BAE6-4792-B563-9BA1FAC372E8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BAE6-4792-B563-9BA1FAC372E8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BAE6-4792-B563-9BA1FAC372E8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BAE6-4792-B563-9BA1FAC372E8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BAE6-4792-B563-9BA1FAC372E8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BAE6-4792-B563-9BA1FAC372E8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BAE6-4792-B563-9BA1FAC372E8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BAE6-4792-B563-9BA1FAC372E8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BAE6-4792-B563-9BA1FAC372E8}"/>
              </c:ext>
            </c:extLst>
          </c:dPt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Graphik!$B$42:$B$62</c:f>
              <c:numCache>
                <c:formatCode>0%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0.60000000000000009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</c:numCache>
            </c:numRef>
          </c:cat>
          <c:val>
            <c:numRef>
              <c:f>Graphik!$E$42:$E$62</c:f>
              <c:numCache>
                <c:formatCode>0</c:formatCode>
                <c:ptCount val="21"/>
                <c:pt idx="0">
                  <c:v>976</c:v>
                </c:pt>
                <c:pt idx="1">
                  <c:v>976</c:v>
                </c:pt>
                <c:pt idx="2">
                  <c:v>976</c:v>
                </c:pt>
                <c:pt idx="3">
                  <c:v>976</c:v>
                </c:pt>
                <c:pt idx="4">
                  <c:v>976</c:v>
                </c:pt>
                <c:pt idx="5">
                  <c:v>976</c:v>
                </c:pt>
                <c:pt idx="6">
                  <c:v>976</c:v>
                </c:pt>
                <c:pt idx="7">
                  <c:v>976</c:v>
                </c:pt>
                <c:pt idx="8">
                  <c:v>976</c:v>
                </c:pt>
                <c:pt idx="9">
                  <c:v>976</c:v>
                </c:pt>
                <c:pt idx="10">
                  <c:v>132</c:v>
                </c:pt>
                <c:pt idx="11">
                  <c:v>-674</c:v>
                </c:pt>
                <c:pt idx="12">
                  <c:v>-674</c:v>
                </c:pt>
                <c:pt idx="13">
                  <c:v>-674</c:v>
                </c:pt>
                <c:pt idx="14">
                  <c:v>-674</c:v>
                </c:pt>
                <c:pt idx="15">
                  <c:v>-674</c:v>
                </c:pt>
                <c:pt idx="16">
                  <c:v>-674</c:v>
                </c:pt>
                <c:pt idx="17">
                  <c:v>-674</c:v>
                </c:pt>
                <c:pt idx="18">
                  <c:v>-674</c:v>
                </c:pt>
                <c:pt idx="19">
                  <c:v>-674</c:v>
                </c:pt>
                <c:pt idx="20">
                  <c:v>-674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BAE6-4792-B563-9BA1FAC372E8}"/>
            </c:ext>
          </c:extLst>
        </c:ser>
        <c:ser>
          <c:idx val="3"/>
          <c:order val="3"/>
          <c:tx>
            <c:strRef>
              <c:f>Graphik!$J$4</c:f>
              <c:strCache>
                <c:ptCount val="1"/>
                <c:pt idx="0">
                  <c:v>Elternteil B Residenz Modell</c:v>
                </c:pt>
              </c:strCache>
            </c:strRef>
          </c:tx>
          <c:spPr>
            <a:ln w="19050">
              <a:solidFill>
                <a:srgbClr val="FF33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BAE6-4792-B563-9BA1FAC372E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BAE6-4792-B563-9BA1FAC372E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BAE6-4792-B563-9BA1FAC372E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BAE6-4792-B563-9BA1FAC372E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BAE6-4792-B563-9BA1FAC372E8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BAE6-4792-B563-9BA1FAC372E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BAE6-4792-B563-9BA1FAC372E8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BAE6-4792-B563-9BA1FAC372E8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BAE6-4792-B563-9BA1FAC372E8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BAE6-4792-B563-9BA1FAC372E8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BAE6-4792-B563-9BA1FAC372E8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BAE6-4792-B563-9BA1FAC372E8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BAE6-4792-B563-9BA1FAC372E8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BAE6-4792-B563-9BA1FAC372E8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BAE6-4792-B563-9BA1FAC372E8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BAE6-4792-B563-9BA1FAC372E8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BAE6-4792-B563-9BA1FAC372E8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BAE6-4792-B563-9BA1FAC372E8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BAE6-4792-B563-9BA1FAC372E8}"/>
              </c:ext>
            </c:extLst>
          </c:dPt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BAE6-4792-B563-9BA1FAC372E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BAE6-4792-B563-9BA1FAC372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n>
                      <a:noFill/>
                    </a:ln>
                    <a:solidFill>
                      <a:srgbClr val="000000"/>
                    </a:solidFill>
                    <a:effectLst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Graphik!$B$42:$B$62</c:f>
              <c:numCache>
                <c:formatCode>0%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0.60000000000000009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</c:numCache>
            </c:numRef>
          </c:cat>
          <c:val>
            <c:numRef>
              <c:f>Graphik!$F$42:$F$62</c:f>
              <c:numCache>
                <c:formatCode>0</c:formatCode>
                <c:ptCount val="21"/>
                <c:pt idx="0">
                  <c:v>-712</c:v>
                </c:pt>
                <c:pt idx="1">
                  <c:v>-712</c:v>
                </c:pt>
                <c:pt idx="2">
                  <c:v>-712</c:v>
                </c:pt>
                <c:pt idx="3">
                  <c:v>-712</c:v>
                </c:pt>
                <c:pt idx="4">
                  <c:v>-712</c:v>
                </c:pt>
                <c:pt idx="5">
                  <c:v>-712</c:v>
                </c:pt>
                <c:pt idx="6">
                  <c:v>-712</c:v>
                </c:pt>
                <c:pt idx="7">
                  <c:v>-712</c:v>
                </c:pt>
                <c:pt idx="8">
                  <c:v>-712</c:v>
                </c:pt>
                <c:pt idx="9">
                  <c:v>-712</c:v>
                </c:pt>
                <c:pt idx="10">
                  <c:v>132</c:v>
                </c:pt>
                <c:pt idx="11">
                  <c:v>938</c:v>
                </c:pt>
                <c:pt idx="12">
                  <c:v>938</c:v>
                </c:pt>
                <c:pt idx="13">
                  <c:v>938</c:v>
                </c:pt>
                <c:pt idx="14">
                  <c:v>938</c:v>
                </c:pt>
                <c:pt idx="15">
                  <c:v>938</c:v>
                </c:pt>
                <c:pt idx="16">
                  <c:v>938</c:v>
                </c:pt>
                <c:pt idx="17">
                  <c:v>938</c:v>
                </c:pt>
                <c:pt idx="18">
                  <c:v>938</c:v>
                </c:pt>
                <c:pt idx="19">
                  <c:v>938</c:v>
                </c:pt>
                <c:pt idx="20">
                  <c:v>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BAE6-4792-B563-9BA1FAC37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28040"/>
        <c:axId val="128430000"/>
      </c:lineChart>
      <c:catAx>
        <c:axId val="128428040"/>
        <c:scaling>
          <c:orientation val="maxMin"/>
        </c:scaling>
        <c:delete val="0"/>
        <c:axPos val="b"/>
        <c:majorGridlines>
          <c:spPr>
            <a:ln w="127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FF33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/>
                    </a:solidFill>
                  </a:rPr>
                  <a:t>Betreuungsanteil Elternteil Grün</a:t>
                </a:r>
              </a:p>
            </c:rich>
          </c:tx>
          <c:layout>
            <c:manualLayout>
              <c:xMode val="edge"/>
              <c:yMode val="edge"/>
              <c:x val="0.32624986163336628"/>
              <c:y val="0.827497422015214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chemeClr val="accent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43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430000"/>
        <c:scaling>
          <c:orientation val="minMax"/>
        </c:scaling>
        <c:delete val="0"/>
        <c:axPos val="l"/>
        <c:majorGridlines>
          <c:spPr>
            <a:ln w="12700">
              <a:solidFill>
                <a:srgbClr val="B3B3B3"/>
              </a:solidFill>
              <a:prstDash val="solid"/>
            </a:ln>
          </c:spPr>
        </c:majorGridlines>
        <c:numFmt formatCode="#,##0\ [$€-407];[Red]\-#,##0\ [$€-407]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428040"/>
        <c:crosses val="max"/>
        <c:crossBetween val="midCat"/>
      </c:valAx>
      <c:spPr>
        <a:noFill/>
        <a:ln w="127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528700906344398E-3"/>
          <c:y val="0.88349616492113203"/>
          <c:w val="0.92598187311178304"/>
          <c:h val="7.76699029126212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96" footer="0.51180555555555596"/>
    <c:pageSetup paperSize="9" firstPageNumber="0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07678299968098E-2"/>
          <c:y val="4.1966955963731602E-2"/>
          <c:w val="0.49115686378258799"/>
          <c:h val="0.860349932256730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2060"/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09-4033-8775-A039F9A40935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09-4033-8775-A039F9A40935}"/>
              </c:ext>
            </c:extLst>
          </c:dPt>
          <c:dPt>
            <c:idx val="2"/>
            <c:bubble3D val="0"/>
            <c:spPr>
              <a:solidFill>
                <a:srgbClr val="00FFFF"/>
              </a:solidFill>
              <a:ln w="6350">
                <a:solidFill>
                  <a:srgbClr val="00206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09-4033-8775-A039F9A4093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4979356474723028"/>
                      <c:h val="0.3161525359985129"/>
                    </c:manualLayout>
                  </c15:layout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4746539474742"/>
                      <c:h val="0.3161525359985129"/>
                    </c:manualLayout>
                  </c15:layout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743049202854141"/>
                      <c:h val="0.316152535998512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Graphik!$A$38:$C$38</c:f>
              <c:strCache>
                <c:ptCount val="3"/>
                <c:pt idx="0">
                  <c:v>Elternteil A</c:v>
                </c:pt>
                <c:pt idx="1">
                  <c:v>Elternteil B</c:v>
                </c:pt>
                <c:pt idx="2">
                  <c:v>Staat</c:v>
                </c:pt>
              </c:strCache>
            </c:strRef>
          </c:cat>
          <c:val>
            <c:numRef>
              <c:f>Graphik!$A$39:$C$39</c:f>
              <c:numCache>
                <c:formatCode>"€"#,##0_);[Red]\("€"#,##0\)</c:formatCode>
                <c:ptCount val="3"/>
                <c:pt idx="0">
                  <c:v>274.02991776987227</c:v>
                </c:pt>
                <c:pt idx="1">
                  <c:v>422.52032425497168</c:v>
                </c:pt>
                <c:pt idx="2">
                  <c:v>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09-4033-8775-A039F9A4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51695470995981097"/>
          <c:y val="3.1776463551342601E-2"/>
          <c:w val="0.47472851016620099"/>
          <c:h val="0.92240922349863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Graphik!$Q$2</c:f>
              <c:strCache>
                <c:ptCount val="1"/>
                <c:pt idx="0">
                  <c:v>Elternteil 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Graphik!$P$3:$P$6</c:f>
              <c:strCache>
                <c:ptCount val="4"/>
                <c:pt idx="0">
                  <c:v>Summe Ausgleich zwischen den Haushalten</c:v>
                </c:pt>
                <c:pt idx="1">
                  <c:v>erhaltene staatliche Zuwendungen</c:v>
                </c:pt>
                <c:pt idx="2">
                  <c:v>bereits bezahlte Kosten</c:v>
                </c:pt>
                <c:pt idx="3">
                  <c:v>Tatsächliche monatliche Belastung/Entlastung (kumuliert)</c:v>
                </c:pt>
              </c:strCache>
            </c:strRef>
          </c:cat>
          <c:val>
            <c:numRef>
              <c:f>Graphik!$Q$3:$Q$6</c:f>
              <c:numCache>
                <c:formatCode>#,##0\ [$€-407];[Red]\-#,##0\ [$€-407];""</c:formatCode>
                <c:ptCount val="4"/>
                <c:pt idx="0">
                  <c:v>74.338764509070529</c:v>
                </c:pt>
                <c:pt idx="1">
                  <c:v>384</c:v>
                </c:pt>
                <c:pt idx="2">
                  <c:v>-120</c:v>
                </c:pt>
                <c:pt idx="3">
                  <c:v>338.33876450907053</c:v>
                </c:pt>
              </c:numCache>
            </c:numRef>
          </c:val>
        </c:ser>
        <c:ser>
          <c:idx val="1"/>
          <c:order val="1"/>
          <c:tx>
            <c:strRef>
              <c:f>Graphik!$R$2</c:f>
              <c:strCache>
                <c:ptCount val="1"/>
                <c:pt idx="0">
                  <c:v>Elternteil B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33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DnDiag">
                <a:fgClr>
                  <a:srgbClr val="FF33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wdDnDiag">
                <a:fgClr>
                  <a:srgbClr val="FF33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Graphik!$P$3:$P$6</c:f>
              <c:strCache>
                <c:ptCount val="4"/>
                <c:pt idx="0">
                  <c:v>Summe Ausgleich zwischen den Haushalten</c:v>
                </c:pt>
                <c:pt idx="1">
                  <c:v>erhaltene staatliche Zuwendungen</c:v>
                </c:pt>
                <c:pt idx="2">
                  <c:v>bereits bezahlte Kosten</c:v>
                </c:pt>
                <c:pt idx="3">
                  <c:v>Tatsächliche monatliche Belastung/Entlastung (kumuliert)</c:v>
                </c:pt>
              </c:strCache>
            </c:strRef>
          </c:cat>
          <c:val>
            <c:numRef>
              <c:f>Graphik!$R$3:$R$6</c:f>
              <c:numCache>
                <c:formatCode>#,##0\ [$€-407];[Red]\-#,##0\ [$€-407];""</c:formatCode>
                <c:ptCount val="4"/>
                <c:pt idx="0">
                  <c:v>-74.338764509070472</c:v>
                </c:pt>
                <c:pt idx="1">
                  <c:v>0</c:v>
                </c:pt>
                <c:pt idx="2">
                  <c:v>0</c:v>
                </c:pt>
                <c:pt idx="3">
                  <c:v>-74.338764509070472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1"/>
        <c:axId val="374591032"/>
        <c:axId val="374588288"/>
      </c:barChart>
      <c:catAx>
        <c:axId val="374591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high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  <c:crossAx val="374588288"/>
        <c:crosses val="autoZero"/>
        <c:auto val="1"/>
        <c:lblAlgn val="ctr"/>
        <c:lblOffset val="100"/>
        <c:tickLblSkip val="1"/>
        <c:noMultiLvlLbl val="0"/>
      </c:catAx>
      <c:valAx>
        <c:axId val="37458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de-DE"/>
          </a:p>
        </c:txPr>
        <c:crossAx val="37459103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77440</xdr:colOff>
      <xdr:row>99</xdr:row>
      <xdr:rowOff>46465</xdr:rowOff>
    </xdr:from>
    <xdr:to>
      <xdr:col>18</xdr:col>
      <xdr:colOff>302013</xdr:colOff>
      <xdr:row>104</xdr:row>
      <xdr:rowOff>116159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68</xdr:row>
      <xdr:rowOff>176389</xdr:rowOff>
    </xdr:from>
    <xdr:to>
      <xdr:col>10</xdr:col>
      <xdr:colOff>237944</xdr:colOff>
      <xdr:row>73</xdr:row>
      <xdr:rowOff>119946</xdr:rowOff>
    </xdr:to>
    <xdr:graphicFrame macro="">
      <xdr:nvGraphicFramePr>
        <xdr:cNvPr id="1046" name="Diagramm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14111</xdr:colOff>
      <xdr:row>61</xdr:row>
      <xdr:rowOff>148166</xdr:rowOff>
    </xdr:from>
    <xdr:to>
      <xdr:col>8</xdr:col>
      <xdr:colOff>77611</xdr:colOff>
      <xdr:row>68</xdr:row>
      <xdr:rowOff>14112</xdr:rowOff>
    </xdr:to>
    <xdr:graphicFrame macro="">
      <xdr:nvGraphicFramePr>
        <xdr:cNvPr id="1047" name="Diagramm 2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35982</xdr:colOff>
      <xdr:row>202</xdr:row>
      <xdr:rowOff>74540</xdr:rowOff>
    </xdr:from>
    <xdr:to>
      <xdr:col>18</xdr:col>
      <xdr:colOff>200024</xdr:colOff>
      <xdr:row>233</xdr:row>
      <xdr:rowOff>115851</xdr:rowOff>
    </xdr:to>
    <xdr:graphicFrame macro="">
      <xdr:nvGraphicFramePr>
        <xdr:cNvPr id="1048" name="Diagramm 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195572</xdr:colOff>
      <xdr:row>203</xdr:row>
      <xdr:rowOff>116159</xdr:rowOff>
    </xdr:from>
    <xdr:to>
      <xdr:col>16</xdr:col>
      <xdr:colOff>241788</xdr:colOff>
      <xdr:row>206</xdr:row>
      <xdr:rowOff>90086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83495" y="27394294"/>
          <a:ext cx="5438831" cy="398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100%</a:t>
          </a:r>
        </a:p>
        <a:p>
          <a:pPr rtl="0"/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95%</a:t>
          </a:r>
        </a:p>
        <a:p>
          <a:pPr rtl="0"/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90%</a:t>
          </a:r>
        </a:p>
        <a:p>
          <a:pPr rtl="0"/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85%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80%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75%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70%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65%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60%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55%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50%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45%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40%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35%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30%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25%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20%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15%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10%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5%</a:t>
          </a:r>
          <a:endParaRPr lang="de-DE" sz="870">
            <a:solidFill>
              <a:srgbClr val="FF3300"/>
            </a:solidFill>
            <a:effectLst/>
            <a:latin typeface="Arial" panose="020B0604020202020204" pitchFamily="34" charset="0"/>
          </a:endParaRPr>
        </a:p>
        <a:p>
          <a:pPr rtl="0"/>
          <a:endParaRPr lang="de-DE" sz="870" b="0" i="0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+mn-cs"/>
          </a:endParaRPr>
        </a:p>
        <a:p>
          <a:pPr rtl="0"/>
          <a:r>
            <a:rPr lang="de-DE" sz="870" b="0" i="0" baseline="0">
              <a:solidFill>
                <a:srgbClr val="FF33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0% </a:t>
          </a:r>
          <a:endParaRPr lang="de-DE" sz="870">
            <a:solidFill>
              <a:srgbClr val="FF33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229753</xdr:colOff>
      <xdr:row>202</xdr:row>
      <xdr:rowOff>123889</xdr:rowOff>
    </xdr:from>
    <xdr:to>
      <xdr:col>12</xdr:col>
      <xdr:colOff>137696</xdr:colOff>
      <xdr:row>204</xdr:row>
      <xdr:rowOff>21167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12772" y="27182216"/>
          <a:ext cx="2098693" cy="219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rgbClr val="FF3300"/>
              </a:solidFill>
              <a:latin typeface="Arial" panose="020B0604020202020204" pitchFamily="34" charset="0"/>
              <a:cs typeface="Arial" panose="020B0604020202020204" pitchFamily="34" charset="0"/>
            </a:rPr>
            <a:t>Betreuungsanteil Elternteil Rot</a:t>
          </a:r>
        </a:p>
      </xdr:txBody>
    </xdr:sp>
    <xdr:clientData/>
  </xdr:twoCellAnchor>
  <xdr:twoCellAnchor>
    <xdr:from>
      <xdr:col>17</xdr:col>
      <xdr:colOff>320237</xdr:colOff>
      <xdr:row>206</xdr:row>
      <xdr:rowOff>18563</xdr:rowOff>
    </xdr:from>
    <xdr:to>
      <xdr:col>18</xdr:col>
      <xdr:colOff>142193</xdr:colOff>
      <xdr:row>224</xdr:row>
      <xdr:rowOff>108818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159062" y="27879188"/>
          <a:ext cx="212481" cy="24905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Tatsächliche</a:t>
          </a:r>
          <a:r>
            <a:rPr lang="de-DE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monatliche Belastung / Entlastung</a:t>
          </a:r>
          <a:endParaRPr lang="de-DE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114651</xdr:colOff>
      <xdr:row>191</xdr:row>
      <xdr:rowOff>48507</xdr:rowOff>
    </xdr:from>
    <xdr:to>
      <xdr:col>15</xdr:col>
      <xdr:colOff>339224</xdr:colOff>
      <xdr:row>196</xdr:row>
      <xdr:rowOff>160535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24693</xdr:colOff>
      <xdr:row>170</xdr:row>
      <xdr:rowOff>88900</xdr:rowOff>
    </xdr:from>
    <xdr:to>
      <xdr:col>18</xdr:col>
      <xdr:colOff>76199</xdr:colOff>
      <xdr:row>188</xdr:row>
      <xdr:rowOff>125677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188667</xdr:colOff>
      <xdr:row>170</xdr:row>
      <xdr:rowOff>90170</xdr:rowOff>
    </xdr:from>
    <xdr:to>
      <xdr:col>2</xdr:col>
      <xdr:colOff>188667</xdr:colOff>
      <xdr:row>186</xdr:row>
      <xdr:rowOff>21590</xdr:rowOff>
    </xdr:to>
    <xdr:cxnSp macro="">
      <xdr:nvCxnSpPr>
        <xdr:cNvPr id="13" name="Gerade Verbindung 5"/>
        <xdr:cNvCxnSpPr/>
      </xdr:nvCxnSpPr>
      <xdr:spPr bwMode="auto">
        <a:xfrm>
          <a:off x="744927" y="23475950"/>
          <a:ext cx="0" cy="2552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49" name="Text Box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0" name="Text Box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1" name="Text Box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2" name="Text Box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3" name="Text Box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4" name="Text Box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5" name="Text Box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6" name="Text Box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7" name="Text Box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8" name="Text Box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59" name="Text Box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0" name="Text Box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1" name="Text Box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2" name="Text Box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3" name="Text Box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4" name="Text Box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5" name="Text Box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6" name="Text Box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7" name="Text Box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8" name="Text Box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69" name="Text Box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0" name="Text Box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1" name="Text Box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2" name="Text Box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3" name="Text Box 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4" name="Text Box 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5" name="Text Box 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6" name="Text Box 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7" name="Text Box 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8" name="Text Box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79" name="Text Box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0" name="Text Box 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1" name="Text Box 3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2" name="Text Box 3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3" name="Text Box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4" name="Text Box 3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5" name="Text Box 3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6" name="Text Box 3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0.0526</cdr:x>
      <cdr:y>0.65979</cdr:y>
    </cdr:from>
    <cdr:to>
      <cdr:x>0.0526</cdr:x>
      <cdr:y>0.65979</cdr:y>
    </cdr:to>
    <cdr:sp macro="" textlink="">
      <cdr:nvSpPr>
        <cdr:cNvPr id="2087" name="Text Box 3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57" y="25986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0.01428</cdr:x>
      <cdr:y>0.44698</cdr:y>
    </cdr:from>
    <cdr:to>
      <cdr:x>0.01706</cdr:x>
      <cdr:y>0.48561</cdr:y>
    </cdr:to>
    <cdr:sp macro="" textlink="">
      <cdr:nvSpPr>
        <cdr:cNvPr id="2119" name="Text Box 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0" y="1810776"/>
          <a:ext cx="18518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>
          <a:noFill/>
          <a:miter lim="800000"/>
          <a:headEnd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0.75465</cdr:x>
      <cdr:y>0</cdr:y>
    </cdr:from>
    <cdr:to>
      <cdr:x>0.75465</cdr:x>
      <cdr:y>0.8517</cdr:y>
    </cdr:to>
    <cdr:cxnSp macro="">
      <cdr:nvCxnSpPr>
        <cdr:cNvPr id="3" name="Gerade Verbindung 2"/>
        <cdr:cNvCxnSpPr/>
      </cdr:nvCxnSpPr>
      <cdr:spPr bwMode="auto">
        <a:xfrm xmlns:a="http://schemas.openxmlformats.org/drawingml/2006/main">
          <a:off x="4655546" y="0"/>
          <a:ext cx="0" cy="248718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0.53349</cdr:x>
      <cdr:y>0</cdr:y>
    </cdr:from>
    <cdr:to>
      <cdr:x>0.53381</cdr:x>
      <cdr:y>0.85455</cdr:y>
    </cdr:to>
    <cdr:cxnSp macro="">
      <cdr:nvCxnSpPr>
        <cdr:cNvPr id="5" name="Gerade Verbindung 4"/>
        <cdr:cNvCxnSpPr/>
      </cdr:nvCxnSpPr>
      <cdr:spPr bwMode="auto">
        <a:xfrm xmlns:a="http://schemas.openxmlformats.org/drawingml/2006/main">
          <a:off x="3322322" y="0"/>
          <a:ext cx="1975" cy="255143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0.31111</cdr:x>
      <cdr:y>0.00085</cdr:y>
    </cdr:from>
    <cdr:to>
      <cdr:x>0.31111</cdr:x>
      <cdr:y>0.85582</cdr:y>
    </cdr:to>
    <cdr:cxnSp macro="">
      <cdr:nvCxnSpPr>
        <cdr:cNvPr id="6" name="Gerade Verbindung 5"/>
        <cdr:cNvCxnSpPr/>
      </cdr:nvCxnSpPr>
      <cdr:spPr bwMode="auto">
        <a:xfrm xmlns:a="http://schemas.openxmlformats.org/drawingml/2006/main">
          <a:off x="1937457" y="2540"/>
          <a:ext cx="0" cy="25527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ttolohn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1"/>
  <sheetViews>
    <sheetView showGridLines="0" showRowColHeaders="0" tabSelected="1" showRuler="0" view="pageLayout" zoomScale="130" zoomScaleNormal="130" zoomScalePageLayoutView="130" workbookViewId="0">
      <selection activeCell="F72" sqref="F72:G72"/>
    </sheetView>
  </sheetViews>
  <sheetFormatPr baseColWidth="10" defaultColWidth="6.85546875" defaultRowHeight="10.5" customHeight="1"/>
  <cols>
    <col min="1" max="1" width="2.28515625" style="1" customWidth="1"/>
    <col min="2" max="2" width="5.42578125" style="1" customWidth="1"/>
    <col min="3" max="9" width="5" style="1" customWidth="1"/>
    <col min="10" max="10" width="6" style="1" customWidth="1"/>
    <col min="11" max="17" width="5" style="1" customWidth="1"/>
    <col min="18" max="18" width="5.42578125" style="1" customWidth="1"/>
    <col min="19" max="19" width="5.140625" style="1" customWidth="1"/>
    <col min="20" max="20" width="2" style="1" customWidth="1"/>
    <col min="21" max="16384" width="6.85546875" style="1"/>
  </cols>
  <sheetData>
    <row r="1" spans="1:19" ht="15" customHeight="1">
      <c r="A1" s="80"/>
      <c r="B1" s="81"/>
      <c r="C1" s="81"/>
      <c r="D1" s="81"/>
      <c r="E1" s="81"/>
      <c r="F1" s="81"/>
      <c r="G1" s="81"/>
      <c r="H1" s="81"/>
      <c r="I1" s="81"/>
      <c r="J1" s="82" t="s">
        <v>210</v>
      </c>
      <c r="K1" s="81"/>
      <c r="L1" s="81"/>
      <c r="M1" s="81"/>
      <c r="N1" s="81"/>
      <c r="O1" s="81"/>
      <c r="P1" s="81"/>
      <c r="Q1" s="81"/>
      <c r="R1" s="81"/>
      <c r="S1" s="2"/>
    </row>
    <row r="2" spans="1:19" ht="18.95" customHeight="1">
      <c r="A2" s="3"/>
      <c r="B2" s="173"/>
      <c r="C2" s="173"/>
      <c r="D2" s="173"/>
      <c r="E2" s="173"/>
      <c r="F2" s="173"/>
      <c r="G2" s="173"/>
      <c r="H2" s="173"/>
      <c r="I2" s="173"/>
      <c r="J2" s="4"/>
      <c r="K2" s="173"/>
      <c r="L2" s="173"/>
      <c r="M2" s="173"/>
      <c r="N2" s="173"/>
      <c r="O2" s="173"/>
      <c r="P2" s="173"/>
      <c r="Q2" s="173"/>
      <c r="R2" s="173"/>
      <c r="S2" s="2"/>
    </row>
    <row r="3" spans="1:19" s="83" customFormat="1" ht="11.85" customHeight="1">
      <c r="A3" s="5"/>
      <c r="B3" s="5" t="str">
        <f>IF(COUNTA(F4:Q4)&gt;1,"Kinder:","Kind:")</f>
        <v>Kinder:</v>
      </c>
      <c r="C3" s="124"/>
      <c r="D3" s="366" t="s">
        <v>0</v>
      </c>
      <c r="E3" s="366"/>
      <c r="F3" s="364" t="s">
        <v>219</v>
      </c>
      <c r="G3" s="365"/>
      <c r="H3" s="364" t="s">
        <v>1</v>
      </c>
      <c r="I3" s="365"/>
      <c r="J3" s="364"/>
      <c r="K3" s="365"/>
      <c r="L3" s="364"/>
      <c r="M3" s="365"/>
      <c r="N3" s="364"/>
      <c r="O3" s="365"/>
      <c r="P3" s="364"/>
      <c r="Q3" s="365"/>
      <c r="R3" s="88"/>
      <c r="S3" s="2"/>
    </row>
    <row r="4" spans="1:19" s="83" customFormat="1" ht="11.85" customHeight="1">
      <c r="A4" s="5"/>
      <c r="B4" s="173"/>
      <c r="C4" s="124"/>
      <c r="D4" s="367" t="s">
        <v>2</v>
      </c>
      <c r="E4" s="367"/>
      <c r="F4" s="362">
        <v>11</v>
      </c>
      <c r="G4" s="363"/>
      <c r="H4" s="362">
        <v>7</v>
      </c>
      <c r="I4" s="363"/>
      <c r="J4" s="362"/>
      <c r="K4" s="363"/>
      <c r="L4" s="362"/>
      <c r="M4" s="363"/>
      <c r="N4" s="362"/>
      <c r="O4" s="363"/>
      <c r="P4" s="362"/>
      <c r="Q4" s="363"/>
      <c r="R4" s="88"/>
      <c r="S4" s="2"/>
    </row>
    <row r="5" spans="1:19" ht="18" customHeight="1">
      <c r="A5" s="3"/>
      <c r="B5" s="173"/>
      <c r="C5" s="17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73"/>
      <c r="S5" s="2"/>
    </row>
    <row r="6" spans="1:19" ht="12.95" customHeight="1">
      <c r="A6" s="124"/>
      <c r="B6" s="5" t="s">
        <v>3</v>
      </c>
      <c r="C6" s="124"/>
      <c r="D6" s="124"/>
      <c r="E6" s="124"/>
      <c r="F6" s="124"/>
      <c r="G6" s="9"/>
      <c r="H6" s="377" t="s">
        <v>205</v>
      </c>
      <c r="I6" s="378"/>
      <c r="J6" s="124"/>
      <c r="K6" s="375" t="s">
        <v>206</v>
      </c>
      <c r="L6" s="376"/>
      <c r="M6" s="124"/>
      <c r="N6" s="373" t="s">
        <v>6</v>
      </c>
      <c r="O6" s="374"/>
      <c r="P6" s="124"/>
      <c r="Q6" s="124"/>
      <c r="R6" s="124"/>
      <c r="S6" s="2"/>
    </row>
    <row r="7" spans="1:19" ht="3.95" customHeight="1">
      <c r="A7" s="124"/>
      <c r="B7" s="124"/>
      <c r="C7" s="10"/>
      <c r="D7" s="11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2"/>
    </row>
    <row r="8" spans="1:19" ht="12.75">
      <c r="A8" s="124"/>
      <c r="B8" s="124"/>
      <c r="C8" s="124"/>
      <c r="D8" s="124"/>
      <c r="E8" s="124"/>
      <c r="F8" s="115" t="s">
        <v>7</v>
      </c>
      <c r="G8" s="9"/>
      <c r="H8" s="9"/>
      <c r="I8" s="9"/>
      <c r="J8" s="9"/>
      <c r="K8" s="9"/>
      <c r="L8" s="9"/>
      <c r="M8" s="9"/>
      <c r="N8" s="115" t="s">
        <v>8</v>
      </c>
      <c r="O8" s="124"/>
      <c r="P8" s="124"/>
      <c r="Q8" s="124"/>
      <c r="R8" s="124"/>
      <c r="S8" s="124"/>
    </row>
    <row r="9" spans="1:19" s="8" customFormat="1" ht="16.5">
      <c r="B9" s="76" t="s">
        <v>9</v>
      </c>
      <c r="C9" s="185" t="s">
        <v>10</v>
      </c>
      <c r="D9" s="185" t="s">
        <v>11</v>
      </c>
      <c r="E9" s="185" t="s">
        <v>12</v>
      </c>
      <c r="F9" s="185" t="s">
        <v>13</v>
      </c>
      <c r="G9" s="185" t="s">
        <v>14</v>
      </c>
      <c r="H9" s="185" t="s">
        <v>15</v>
      </c>
      <c r="I9" s="185" t="s">
        <v>16</v>
      </c>
      <c r="J9" s="12" t="s">
        <v>9</v>
      </c>
      <c r="K9" s="185" t="s">
        <v>10</v>
      </c>
      <c r="L9" s="185" t="s">
        <v>11</v>
      </c>
      <c r="M9" s="185" t="s">
        <v>12</v>
      </c>
      <c r="N9" s="185" t="s">
        <v>13</v>
      </c>
      <c r="O9" s="185" t="s">
        <v>14</v>
      </c>
      <c r="P9" s="185" t="s">
        <v>15</v>
      </c>
      <c r="Q9" s="185" t="s">
        <v>16</v>
      </c>
      <c r="R9" s="12" t="s">
        <v>9</v>
      </c>
    </row>
    <row r="10" spans="1:19" s="13" customFormat="1" ht="6" customHeight="1">
      <c r="B10" s="186" t="s">
        <v>17</v>
      </c>
      <c r="C10" s="79" t="s">
        <v>18</v>
      </c>
      <c r="D10" s="67" t="s">
        <v>18</v>
      </c>
      <c r="E10" s="68" t="s">
        <v>18</v>
      </c>
      <c r="F10" s="68" t="s">
        <v>18</v>
      </c>
      <c r="G10" s="69" t="s">
        <v>19</v>
      </c>
      <c r="H10" s="69" t="s">
        <v>19</v>
      </c>
      <c r="I10" s="69" t="s">
        <v>19</v>
      </c>
      <c r="J10" s="186" t="s">
        <v>17</v>
      </c>
      <c r="K10" s="66" t="s">
        <v>19</v>
      </c>
      <c r="L10" s="67" t="s">
        <v>18</v>
      </c>
      <c r="M10" s="68" t="s">
        <v>18</v>
      </c>
      <c r="N10" s="68" t="s">
        <v>18</v>
      </c>
      <c r="O10" s="69" t="s">
        <v>19</v>
      </c>
      <c r="P10" s="69" t="s">
        <v>18</v>
      </c>
      <c r="Q10" s="69" t="s">
        <v>18</v>
      </c>
      <c r="R10" s="186" t="s">
        <v>17</v>
      </c>
      <c r="S10" s="14"/>
    </row>
    <row r="11" spans="1:19" s="13" customFormat="1" ht="6" customHeight="1">
      <c r="B11" s="186" t="s">
        <v>20</v>
      </c>
      <c r="C11" s="75" t="s">
        <v>18</v>
      </c>
      <c r="D11" s="70" t="s">
        <v>18</v>
      </c>
      <c r="E11" s="70" t="s">
        <v>18</v>
      </c>
      <c r="F11" s="70" t="s">
        <v>18</v>
      </c>
      <c r="G11" s="71" t="s">
        <v>19</v>
      </c>
      <c r="H11" s="71" t="s">
        <v>19</v>
      </c>
      <c r="I11" s="71" t="s">
        <v>19</v>
      </c>
      <c r="J11" s="186" t="s">
        <v>20</v>
      </c>
      <c r="K11" s="66" t="s">
        <v>19</v>
      </c>
      <c r="L11" s="70" t="s">
        <v>18</v>
      </c>
      <c r="M11" s="70" t="s">
        <v>18</v>
      </c>
      <c r="N11" s="70" t="s">
        <v>18</v>
      </c>
      <c r="O11" s="71" t="s">
        <v>19</v>
      </c>
      <c r="P11" s="71" t="s">
        <v>18</v>
      </c>
      <c r="Q11" s="71" t="s">
        <v>18</v>
      </c>
      <c r="R11" s="186" t="s">
        <v>20</v>
      </c>
      <c r="S11" s="15"/>
    </row>
    <row r="12" spans="1:19" s="13" customFormat="1" ht="6" customHeight="1">
      <c r="B12" s="186" t="s">
        <v>21</v>
      </c>
      <c r="C12" s="75" t="s">
        <v>18</v>
      </c>
      <c r="D12" s="70" t="s">
        <v>18</v>
      </c>
      <c r="E12" s="70" t="s">
        <v>18</v>
      </c>
      <c r="F12" s="70" t="s">
        <v>18</v>
      </c>
      <c r="G12" s="71" t="s">
        <v>19</v>
      </c>
      <c r="H12" s="71" t="s">
        <v>19</v>
      </c>
      <c r="I12" s="71" t="s">
        <v>19</v>
      </c>
      <c r="J12" s="186" t="s">
        <v>21</v>
      </c>
      <c r="K12" s="66" t="s">
        <v>19</v>
      </c>
      <c r="L12" s="70" t="s">
        <v>18</v>
      </c>
      <c r="M12" s="70" t="s">
        <v>18</v>
      </c>
      <c r="N12" s="70" t="s">
        <v>18</v>
      </c>
      <c r="O12" s="71" t="s">
        <v>19</v>
      </c>
      <c r="P12" s="71" t="s">
        <v>18</v>
      </c>
      <c r="Q12" s="71" t="s">
        <v>18</v>
      </c>
      <c r="R12" s="186" t="s">
        <v>21</v>
      </c>
      <c r="S12" s="15"/>
    </row>
    <row r="13" spans="1:19" s="13" customFormat="1" ht="6" customHeight="1">
      <c r="B13" s="186" t="s">
        <v>22</v>
      </c>
      <c r="C13" s="75" t="s">
        <v>18</v>
      </c>
      <c r="D13" s="70" t="s">
        <v>18</v>
      </c>
      <c r="E13" s="70" t="s">
        <v>18</v>
      </c>
      <c r="F13" s="70" t="s">
        <v>18</v>
      </c>
      <c r="G13" s="71" t="s">
        <v>19</v>
      </c>
      <c r="H13" s="71" t="s">
        <v>19</v>
      </c>
      <c r="I13" s="71" t="s">
        <v>19</v>
      </c>
      <c r="J13" s="186" t="s">
        <v>22</v>
      </c>
      <c r="K13" s="66" t="s">
        <v>19</v>
      </c>
      <c r="L13" s="70" t="s">
        <v>18</v>
      </c>
      <c r="M13" s="72" t="s">
        <v>18</v>
      </c>
      <c r="N13" s="70" t="s">
        <v>18</v>
      </c>
      <c r="O13" s="71" t="s">
        <v>19</v>
      </c>
      <c r="P13" s="71" t="s">
        <v>18</v>
      </c>
      <c r="Q13" s="71" t="s">
        <v>18</v>
      </c>
      <c r="R13" s="186" t="s">
        <v>22</v>
      </c>
      <c r="S13" s="15"/>
    </row>
    <row r="14" spans="1:19" s="13" customFormat="1" ht="6" customHeight="1">
      <c r="B14" s="186" t="s">
        <v>23</v>
      </c>
      <c r="C14" s="75" t="s">
        <v>18</v>
      </c>
      <c r="D14" s="70" t="s">
        <v>18</v>
      </c>
      <c r="E14" s="70" t="s">
        <v>18</v>
      </c>
      <c r="F14" s="70" t="s">
        <v>18</v>
      </c>
      <c r="G14" s="71" t="s">
        <v>19</v>
      </c>
      <c r="H14" s="71" t="s">
        <v>19</v>
      </c>
      <c r="I14" s="71" t="s">
        <v>19</v>
      </c>
      <c r="J14" s="186" t="s">
        <v>23</v>
      </c>
      <c r="K14" s="66" t="s">
        <v>19</v>
      </c>
      <c r="L14" s="70" t="s">
        <v>18</v>
      </c>
      <c r="M14" s="72" t="s">
        <v>18</v>
      </c>
      <c r="N14" s="70" t="s">
        <v>18</v>
      </c>
      <c r="O14" s="71" t="s">
        <v>19</v>
      </c>
      <c r="P14" s="71" t="s">
        <v>18</v>
      </c>
      <c r="Q14" s="71" t="s">
        <v>18</v>
      </c>
      <c r="R14" s="186" t="s">
        <v>23</v>
      </c>
      <c r="S14" s="15"/>
    </row>
    <row r="15" spans="1:19" s="13" customFormat="1" ht="6" customHeight="1">
      <c r="B15" s="186" t="s">
        <v>24</v>
      </c>
      <c r="C15" s="75" t="s">
        <v>18</v>
      </c>
      <c r="D15" s="70" t="s">
        <v>18</v>
      </c>
      <c r="E15" s="70" t="s">
        <v>18</v>
      </c>
      <c r="F15" s="70" t="s">
        <v>18</v>
      </c>
      <c r="G15" s="71" t="s">
        <v>19</v>
      </c>
      <c r="H15" s="71" t="s">
        <v>19</v>
      </c>
      <c r="I15" s="71" t="s">
        <v>19</v>
      </c>
      <c r="J15" s="186" t="s">
        <v>24</v>
      </c>
      <c r="K15" s="66" t="s">
        <v>19</v>
      </c>
      <c r="L15" s="70" t="s">
        <v>18</v>
      </c>
      <c r="M15" s="72" t="s">
        <v>18</v>
      </c>
      <c r="N15" s="70" t="s">
        <v>18</v>
      </c>
      <c r="O15" s="71" t="s">
        <v>19</v>
      </c>
      <c r="P15" s="71" t="s">
        <v>18</v>
      </c>
      <c r="Q15" s="71" t="s">
        <v>18</v>
      </c>
      <c r="R15" s="186" t="s">
        <v>24</v>
      </c>
      <c r="S15" s="15"/>
    </row>
    <row r="16" spans="1:19" s="13" customFormat="1" ht="6" customHeight="1">
      <c r="B16" s="187" t="s">
        <v>25</v>
      </c>
      <c r="C16" s="75" t="s">
        <v>18</v>
      </c>
      <c r="D16" s="70" t="s">
        <v>18</v>
      </c>
      <c r="E16" s="70" t="s">
        <v>18</v>
      </c>
      <c r="F16" s="70" t="s">
        <v>18</v>
      </c>
      <c r="G16" s="71" t="s">
        <v>19</v>
      </c>
      <c r="H16" s="71" t="s">
        <v>19</v>
      </c>
      <c r="I16" s="71" t="s">
        <v>19</v>
      </c>
      <c r="J16" s="187" t="s">
        <v>25</v>
      </c>
      <c r="K16" s="66" t="s">
        <v>19</v>
      </c>
      <c r="L16" s="70" t="s">
        <v>18</v>
      </c>
      <c r="M16" s="72" t="s">
        <v>18</v>
      </c>
      <c r="N16" s="70" t="s">
        <v>18</v>
      </c>
      <c r="O16" s="71" t="s">
        <v>19</v>
      </c>
      <c r="P16" s="71" t="s">
        <v>18</v>
      </c>
      <c r="Q16" s="71" t="s">
        <v>18</v>
      </c>
      <c r="R16" s="187" t="s">
        <v>25</v>
      </c>
      <c r="S16" s="16"/>
    </row>
    <row r="17" spans="2:19" s="13" customFormat="1" ht="6" customHeight="1">
      <c r="B17" s="77" t="s">
        <v>26</v>
      </c>
      <c r="C17" s="75" t="s">
        <v>18</v>
      </c>
      <c r="D17" s="70" t="s">
        <v>18</v>
      </c>
      <c r="E17" s="70" t="s">
        <v>18</v>
      </c>
      <c r="F17" s="70" t="s">
        <v>18</v>
      </c>
      <c r="G17" s="71" t="s">
        <v>19</v>
      </c>
      <c r="H17" s="71" t="s">
        <v>19</v>
      </c>
      <c r="I17" s="71" t="s">
        <v>19</v>
      </c>
      <c r="J17" s="77" t="s">
        <v>26</v>
      </c>
      <c r="K17" s="66" t="s">
        <v>19</v>
      </c>
      <c r="L17" s="70" t="s">
        <v>18</v>
      </c>
      <c r="M17" s="72" t="s">
        <v>18</v>
      </c>
      <c r="N17" s="70" t="s">
        <v>18</v>
      </c>
      <c r="O17" s="71" t="s">
        <v>19</v>
      </c>
      <c r="P17" s="71" t="s">
        <v>18</v>
      </c>
      <c r="Q17" s="71" t="s">
        <v>18</v>
      </c>
      <c r="R17" s="77" t="s">
        <v>26</v>
      </c>
      <c r="S17" s="16"/>
    </row>
    <row r="18" spans="2:19" s="13" customFormat="1" ht="6" customHeight="1">
      <c r="B18" s="187" t="s">
        <v>27</v>
      </c>
      <c r="C18" s="75" t="s">
        <v>18</v>
      </c>
      <c r="D18" s="70" t="s">
        <v>18</v>
      </c>
      <c r="E18" s="70" t="s">
        <v>18</v>
      </c>
      <c r="F18" s="70" t="s">
        <v>18</v>
      </c>
      <c r="G18" s="71" t="s">
        <v>19</v>
      </c>
      <c r="H18" s="71" t="s">
        <v>19</v>
      </c>
      <c r="I18" s="71" t="s">
        <v>19</v>
      </c>
      <c r="J18" s="187" t="s">
        <v>27</v>
      </c>
      <c r="K18" s="66" t="s">
        <v>19</v>
      </c>
      <c r="L18" s="70" t="s">
        <v>18</v>
      </c>
      <c r="M18" s="72" t="s">
        <v>18</v>
      </c>
      <c r="N18" s="70" t="s">
        <v>18</v>
      </c>
      <c r="O18" s="71" t="s">
        <v>19</v>
      </c>
      <c r="P18" s="71" t="s">
        <v>18</v>
      </c>
      <c r="Q18" s="71" t="s">
        <v>18</v>
      </c>
      <c r="R18" s="187" t="s">
        <v>27</v>
      </c>
    </row>
    <row r="19" spans="2:19" s="13" customFormat="1" ht="6" customHeight="1">
      <c r="B19" s="77" t="s">
        <v>28</v>
      </c>
      <c r="C19" s="75" t="s">
        <v>18</v>
      </c>
      <c r="D19" s="70" t="s">
        <v>18</v>
      </c>
      <c r="E19" s="70" t="s">
        <v>18</v>
      </c>
      <c r="F19" s="70" t="s">
        <v>18</v>
      </c>
      <c r="G19" s="71" t="s">
        <v>19</v>
      </c>
      <c r="H19" s="71" t="s">
        <v>19</v>
      </c>
      <c r="I19" s="71" t="s">
        <v>19</v>
      </c>
      <c r="J19" s="77" t="s">
        <v>28</v>
      </c>
      <c r="K19" s="66" t="s">
        <v>19</v>
      </c>
      <c r="L19" s="70" t="s">
        <v>18</v>
      </c>
      <c r="M19" s="72" t="s">
        <v>18</v>
      </c>
      <c r="N19" s="70" t="s">
        <v>18</v>
      </c>
      <c r="O19" s="71" t="s">
        <v>19</v>
      </c>
      <c r="P19" s="71" t="s">
        <v>18</v>
      </c>
      <c r="Q19" s="71" t="s">
        <v>18</v>
      </c>
      <c r="R19" s="77" t="s">
        <v>28</v>
      </c>
    </row>
    <row r="20" spans="2:19" s="13" customFormat="1" ht="6" customHeight="1">
      <c r="B20" s="187" t="s">
        <v>29</v>
      </c>
      <c r="C20" s="75" t="s">
        <v>30</v>
      </c>
      <c r="D20" s="70" t="s">
        <v>30</v>
      </c>
      <c r="E20" s="70" t="s">
        <v>30</v>
      </c>
      <c r="F20" s="71" t="s">
        <v>30</v>
      </c>
      <c r="G20" s="71" t="s">
        <v>30</v>
      </c>
      <c r="H20" s="71" t="s">
        <v>19</v>
      </c>
      <c r="I20" s="71" t="s">
        <v>19</v>
      </c>
      <c r="J20" s="187" t="s">
        <v>29</v>
      </c>
      <c r="K20" s="66" t="s">
        <v>30</v>
      </c>
      <c r="L20" s="70" t="s">
        <v>30</v>
      </c>
      <c r="M20" s="72" t="s">
        <v>30</v>
      </c>
      <c r="N20" s="71" t="s">
        <v>30</v>
      </c>
      <c r="O20" s="71" t="s">
        <v>30</v>
      </c>
      <c r="P20" s="71" t="s">
        <v>18</v>
      </c>
      <c r="Q20" s="71" t="s">
        <v>18</v>
      </c>
      <c r="R20" s="187" t="s">
        <v>29</v>
      </c>
    </row>
    <row r="21" spans="2:19" s="13" customFormat="1" ht="6" customHeight="1">
      <c r="B21" s="77" t="s">
        <v>31</v>
      </c>
      <c r="C21" s="75" t="s">
        <v>30</v>
      </c>
      <c r="D21" s="70" t="s">
        <v>30</v>
      </c>
      <c r="E21" s="70" t="s">
        <v>30</v>
      </c>
      <c r="F21" s="71" t="s">
        <v>30</v>
      </c>
      <c r="G21" s="71" t="s">
        <v>30</v>
      </c>
      <c r="H21" s="71" t="s">
        <v>19</v>
      </c>
      <c r="I21" s="71" t="s">
        <v>19</v>
      </c>
      <c r="J21" s="77" t="s">
        <v>31</v>
      </c>
      <c r="K21" s="66" t="s">
        <v>30</v>
      </c>
      <c r="L21" s="70" t="s">
        <v>30</v>
      </c>
      <c r="M21" s="72" t="s">
        <v>30</v>
      </c>
      <c r="N21" s="71" t="s">
        <v>30</v>
      </c>
      <c r="O21" s="71" t="s">
        <v>30</v>
      </c>
      <c r="P21" s="71" t="s">
        <v>18</v>
      </c>
      <c r="Q21" s="71" t="s">
        <v>18</v>
      </c>
      <c r="R21" s="77" t="s">
        <v>31</v>
      </c>
    </row>
    <row r="22" spans="2:19" s="13" customFormat="1" ht="6" customHeight="1">
      <c r="B22" s="187" t="s">
        <v>32</v>
      </c>
      <c r="C22" s="75" t="s">
        <v>30</v>
      </c>
      <c r="D22" s="70" t="s">
        <v>30</v>
      </c>
      <c r="E22" s="70" t="s">
        <v>30</v>
      </c>
      <c r="F22" s="71" t="s">
        <v>30</v>
      </c>
      <c r="G22" s="71" t="s">
        <v>30</v>
      </c>
      <c r="H22" s="71" t="s">
        <v>19</v>
      </c>
      <c r="I22" s="71" t="s">
        <v>19</v>
      </c>
      <c r="J22" s="187" t="s">
        <v>32</v>
      </c>
      <c r="K22" s="66" t="s">
        <v>30</v>
      </c>
      <c r="L22" s="70" t="s">
        <v>30</v>
      </c>
      <c r="M22" s="72" t="s">
        <v>30</v>
      </c>
      <c r="N22" s="71" t="s">
        <v>30</v>
      </c>
      <c r="O22" s="71" t="s">
        <v>30</v>
      </c>
      <c r="P22" s="70" t="s">
        <v>18</v>
      </c>
      <c r="Q22" s="71" t="s">
        <v>18</v>
      </c>
      <c r="R22" s="187" t="s">
        <v>32</v>
      </c>
    </row>
    <row r="23" spans="2:19" s="13" customFormat="1" ht="6" customHeight="1">
      <c r="B23" s="77" t="s">
        <v>33</v>
      </c>
      <c r="C23" s="75" t="s">
        <v>30</v>
      </c>
      <c r="D23" s="70" t="s">
        <v>30</v>
      </c>
      <c r="E23" s="70" t="s">
        <v>30</v>
      </c>
      <c r="F23" s="71" t="s">
        <v>30</v>
      </c>
      <c r="G23" s="71" t="s">
        <v>30</v>
      </c>
      <c r="H23" s="71" t="s">
        <v>19</v>
      </c>
      <c r="I23" s="71" t="s">
        <v>19</v>
      </c>
      <c r="J23" s="77" t="s">
        <v>33</v>
      </c>
      <c r="K23" s="66" t="s">
        <v>30</v>
      </c>
      <c r="L23" s="70" t="s">
        <v>30</v>
      </c>
      <c r="M23" s="72" t="s">
        <v>30</v>
      </c>
      <c r="N23" s="71" t="s">
        <v>30</v>
      </c>
      <c r="O23" s="71" t="s">
        <v>30</v>
      </c>
      <c r="P23" s="70" t="s">
        <v>18</v>
      </c>
      <c r="Q23" s="71" t="s">
        <v>18</v>
      </c>
      <c r="R23" s="77" t="s">
        <v>33</v>
      </c>
    </row>
    <row r="24" spans="2:19" s="13" customFormat="1" ht="6" customHeight="1">
      <c r="B24" s="78" t="s">
        <v>34</v>
      </c>
      <c r="C24" s="75" t="s">
        <v>30</v>
      </c>
      <c r="D24" s="70" t="s">
        <v>30</v>
      </c>
      <c r="E24" s="70" t="s">
        <v>30</v>
      </c>
      <c r="F24" s="71" t="s">
        <v>30</v>
      </c>
      <c r="G24" s="71" t="s">
        <v>30</v>
      </c>
      <c r="H24" s="70" t="s">
        <v>19</v>
      </c>
      <c r="I24" s="71" t="s">
        <v>19</v>
      </c>
      <c r="J24" s="78" t="s">
        <v>34</v>
      </c>
      <c r="K24" s="66" t="s">
        <v>30</v>
      </c>
      <c r="L24" s="70" t="s">
        <v>30</v>
      </c>
      <c r="M24" s="72" t="s">
        <v>30</v>
      </c>
      <c r="N24" s="71" t="s">
        <v>30</v>
      </c>
      <c r="O24" s="71" t="s">
        <v>30</v>
      </c>
      <c r="P24" s="70" t="s">
        <v>18</v>
      </c>
      <c r="Q24" s="71" t="s">
        <v>18</v>
      </c>
      <c r="R24" s="78" t="s">
        <v>34</v>
      </c>
    </row>
    <row r="25" spans="2:19" s="13" customFormat="1" ht="6" customHeight="1">
      <c r="B25" s="77" t="s">
        <v>35</v>
      </c>
      <c r="C25" s="75" t="s">
        <v>30</v>
      </c>
      <c r="D25" s="70" t="s">
        <v>30</v>
      </c>
      <c r="E25" s="70" t="s">
        <v>30</v>
      </c>
      <c r="F25" s="71" t="s">
        <v>30</v>
      </c>
      <c r="G25" s="71" t="s">
        <v>30</v>
      </c>
      <c r="H25" s="70" t="s">
        <v>19</v>
      </c>
      <c r="I25" s="71" t="s">
        <v>19</v>
      </c>
      <c r="J25" s="77" t="s">
        <v>35</v>
      </c>
      <c r="K25" s="66" t="s">
        <v>30</v>
      </c>
      <c r="L25" s="70" t="s">
        <v>30</v>
      </c>
      <c r="M25" s="72" t="s">
        <v>30</v>
      </c>
      <c r="N25" s="71" t="s">
        <v>30</v>
      </c>
      <c r="O25" s="71" t="s">
        <v>30</v>
      </c>
      <c r="P25" s="70" t="s">
        <v>18</v>
      </c>
      <c r="Q25" s="71" t="s">
        <v>18</v>
      </c>
      <c r="R25" s="77" t="s">
        <v>35</v>
      </c>
    </row>
    <row r="26" spans="2:19" s="13" customFormat="1" ht="6" customHeight="1">
      <c r="B26" s="187" t="s">
        <v>36</v>
      </c>
      <c r="C26" s="75" t="s">
        <v>30</v>
      </c>
      <c r="D26" s="70" t="s">
        <v>30</v>
      </c>
      <c r="E26" s="72" t="s">
        <v>30</v>
      </c>
      <c r="F26" s="71" t="s">
        <v>30</v>
      </c>
      <c r="G26" s="70" t="s">
        <v>30</v>
      </c>
      <c r="H26" s="70" t="s">
        <v>19</v>
      </c>
      <c r="I26" s="71" t="s">
        <v>19</v>
      </c>
      <c r="J26" s="187" t="s">
        <v>36</v>
      </c>
      <c r="K26" s="66" t="s">
        <v>30</v>
      </c>
      <c r="L26" s="70" t="s">
        <v>30</v>
      </c>
      <c r="M26" s="72" t="s">
        <v>30</v>
      </c>
      <c r="N26" s="71" t="s">
        <v>30</v>
      </c>
      <c r="O26" s="70" t="s">
        <v>30</v>
      </c>
      <c r="P26" s="70" t="s">
        <v>18</v>
      </c>
      <c r="Q26" s="71" t="s">
        <v>18</v>
      </c>
      <c r="R26" s="187" t="s">
        <v>36</v>
      </c>
    </row>
    <row r="27" spans="2:19" s="13" customFormat="1" ht="6" customHeight="1">
      <c r="B27" s="77" t="s">
        <v>37</v>
      </c>
      <c r="C27" s="75" t="s">
        <v>30</v>
      </c>
      <c r="D27" s="70" t="s">
        <v>30</v>
      </c>
      <c r="E27" s="72" t="s">
        <v>30</v>
      </c>
      <c r="F27" s="71" t="s">
        <v>30</v>
      </c>
      <c r="G27" s="70" t="s">
        <v>30</v>
      </c>
      <c r="H27" s="70" t="s">
        <v>19</v>
      </c>
      <c r="I27" s="71" t="s">
        <v>19</v>
      </c>
      <c r="J27" s="77" t="s">
        <v>37</v>
      </c>
      <c r="K27" s="66" t="s">
        <v>30</v>
      </c>
      <c r="L27" s="70" t="s">
        <v>30</v>
      </c>
      <c r="M27" s="72" t="s">
        <v>30</v>
      </c>
      <c r="N27" s="71" t="s">
        <v>30</v>
      </c>
      <c r="O27" s="70" t="s">
        <v>30</v>
      </c>
      <c r="P27" s="70" t="s">
        <v>18</v>
      </c>
      <c r="Q27" s="71" t="s">
        <v>18</v>
      </c>
      <c r="R27" s="77" t="s">
        <v>37</v>
      </c>
    </row>
    <row r="28" spans="2:19" s="13" customFormat="1" ht="6" customHeight="1">
      <c r="B28" s="187" t="s">
        <v>38</v>
      </c>
      <c r="C28" s="75" t="s">
        <v>30</v>
      </c>
      <c r="D28" s="70" t="s">
        <v>30</v>
      </c>
      <c r="E28" s="72" t="s">
        <v>30</v>
      </c>
      <c r="F28" s="71" t="s">
        <v>30</v>
      </c>
      <c r="G28" s="70" t="s">
        <v>30</v>
      </c>
      <c r="H28" s="70" t="s">
        <v>19</v>
      </c>
      <c r="I28" s="71" t="s">
        <v>19</v>
      </c>
      <c r="J28" s="187" t="s">
        <v>38</v>
      </c>
      <c r="K28" s="66" t="s">
        <v>30</v>
      </c>
      <c r="L28" s="70" t="s">
        <v>30</v>
      </c>
      <c r="M28" s="72" t="s">
        <v>30</v>
      </c>
      <c r="N28" s="71" t="s">
        <v>30</v>
      </c>
      <c r="O28" s="70" t="s">
        <v>30</v>
      </c>
      <c r="P28" s="70" t="s">
        <v>18</v>
      </c>
      <c r="Q28" s="71" t="s">
        <v>18</v>
      </c>
      <c r="R28" s="187" t="s">
        <v>38</v>
      </c>
    </row>
    <row r="29" spans="2:19" s="13" customFormat="1" ht="6" customHeight="1">
      <c r="B29" s="77" t="s">
        <v>39</v>
      </c>
      <c r="C29" s="75" t="s">
        <v>30</v>
      </c>
      <c r="D29" s="70" t="s">
        <v>30</v>
      </c>
      <c r="E29" s="72" t="s">
        <v>30</v>
      </c>
      <c r="F29" s="71" t="s">
        <v>30</v>
      </c>
      <c r="G29" s="70" t="s">
        <v>30</v>
      </c>
      <c r="H29" s="70" t="s">
        <v>19</v>
      </c>
      <c r="I29" s="71" t="s">
        <v>19</v>
      </c>
      <c r="J29" s="77" t="s">
        <v>39</v>
      </c>
      <c r="K29" s="66" t="s">
        <v>30</v>
      </c>
      <c r="L29" s="70" t="s">
        <v>30</v>
      </c>
      <c r="M29" s="72" t="s">
        <v>30</v>
      </c>
      <c r="N29" s="71" t="s">
        <v>30</v>
      </c>
      <c r="O29" s="70" t="s">
        <v>30</v>
      </c>
      <c r="P29" s="70" t="s">
        <v>18</v>
      </c>
      <c r="Q29" s="71" t="s">
        <v>18</v>
      </c>
      <c r="R29" s="77" t="s">
        <v>39</v>
      </c>
    </row>
    <row r="30" spans="2:19" s="13" customFormat="1" ht="6" customHeight="1">
      <c r="B30" s="187" t="s">
        <v>40</v>
      </c>
      <c r="C30" s="75" t="s">
        <v>30</v>
      </c>
      <c r="D30" s="70" t="s">
        <v>30</v>
      </c>
      <c r="E30" s="72" t="s">
        <v>30</v>
      </c>
      <c r="F30" s="71" t="s">
        <v>30</v>
      </c>
      <c r="G30" s="70" t="s">
        <v>30</v>
      </c>
      <c r="H30" s="70" t="s">
        <v>19</v>
      </c>
      <c r="I30" s="71" t="s">
        <v>19</v>
      </c>
      <c r="J30" s="187" t="s">
        <v>40</v>
      </c>
      <c r="K30" s="66" t="s">
        <v>30</v>
      </c>
      <c r="L30" s="70" t="s">
        <v>30</v>
      </c>
      <c r="M30" s="72" t="s">
        <v>30</v>
      </c>
      <c r="N30" s="71" t="s">
        <v>30</v>
      </c>
      <c r="O30" s="70" t="s">
        <v>30</v>
      </c>
      <c r="P30" s="70" t="s">
        <v>18</v>
      </c>
      <c r="Q30" s="71" t="s">
        <v>18</v>
      </c>
      <c r="R30" s="187" t="s">
        <v>40</v>
      </c>
    </row>
    <row r="31" spans="2:19" s="13" customFormat="1" ht="6" customHeight="1">
      <c r="B31" s="77" t="s">
        <v>41</v>
      </c>
      <c r="C31" s="75" t="s">
        <v>30</v>
      </c>
      <c r="D31" s="70" t="s">
        <v>30</v>
      </c>
      <c r="E31" s="72" t="s">
        <v>30</v>
      </c>
      <c r="F31" s="71" t="s">
        <v>30</v>
      </c>
      <c r="G31" s="70" t="s">
        <v>30</v>
      </c>
      <c r="H31" s="70" t="s">
        <v>19</v>
      </c>
      <c r="I31" s="71" t="s">
        <v>19</v>
      </c>
      <c r="J31" s="77" t="s">
        <v>41</v>
      </c>
      <c r="K31" s="66" t="s">
        <v>30</v>
      </c>
      <c r="L31" s="70" t="s">
        <v>30</v>
      </c>
      <c r="M31" s="72" t="s">
        <v>30</v>
      </c>
      <c r="N31" s="71" t="s">
        <v>30</v>
      </c>
      <c r="O31" s="70" t="s">
        <v>30</v>
      </c>
      <c r="P31" s="70" t="s">
        <v>18</v>
      </c>
      <c r="Q31" s="71" t="s">
        <v>18</v>
      </c>
      <c r="R31" s="77" t="s">
        <v>41</v>
      </c>
    </row>
    <row r="32" spans="2:19" s="13" customFormat="1" ht="6" customHeight="1">
      <c r="B32" s="187" t="s">
        <v>42</v>
      </c>
      <c r="C32" s="75" t="s">
        <v>30</v>
      </c>
      <c r="D32" s="70" t="s">
        <v>30</v>
      </c>
      <c r="E32" s="72" t="s">
        <v>30</v>
      </c>
      <c r="F32" s="71" t="s">
        <v>30</v>
      </c>
      <c r="G32" s="70" t="s">
        <v>30</v>
      </c>
      <c r="H32" s="70" t="s">
        <v>19</v>
      </c>
      <c r="I32" s="71" t="s">
        <v>19</v>
      </c>
      <c r="J32" s="187" t="s">
        <v>42</v>
      </c>
      <c r="K32" s="66" t="s">
        <v>30</v>
      </c>
      <c r="L32" s="70" t="s">
        <v>30</v>
      </c>
      <c r="M32" s="72" t="s">
        <v>30</v>
      </c>
      <c r="N32" s="71" t="s">
        <v>30</v>
      </c>
      <c r="O32" s="70" t="s">
        <v>30</v>
      </c>
      <c r="P32" s="70" t="s">
        <v>18</v>
      </c>
      <c r="Q32" s="71" t="s">
        <v>18</v>
      </c>
      <c r="R32" s="187" t="s">
        <v>42</v>
      </c>
    </row>
    <row r="33" spans="2:18" s="13" customFormat="1" ht="6" customHeight="1">
      <c r="B33" s="77" t="s">
        <v>43</v>
      </c>
      <c r="C33" s="75" t="s">
        <v>30</v>
      </c>
      <c r="D33" s="70" t="s">
        <v>30</v>
      </c>
      <c r="E33" s="72" t="s">
        <v>30</v>
      </c>
      <c r="F33" s="71" t="s">
        <v>30</v>
      </c>
      <c r="G33" s="70" t="s">
        <v>30</v>
      </c>
      <c r="H33" s="70" t="s">
        <v>19</v>
      </c>
      <c r="I33" s="71" t="s">
        <v>19</v>
      </c>
      <c r="J33" s="77" t="s">
        <v>43</v>
      </c>
      <c r="K33" s="66" t="s">
        <v>30</v>
      </c>
      <c r="L33" s="70" t="s">
        <v>30</v>
      </c>
      <c r="M33" s="72" t="s">
        <v>30</v>
      </c>
      <c r="N33" s="71" t="s">
        <v>30</v>
      </c>
      <c r="O33" s="70" t="s">
        <v>30</v>
      </c>
      <c r="P33" s="70" t="s">
        <v>18</v>
      </c>
      <c r="Q33" s="71" t="s">
        <v>18</v>
      </c>
      <c r="R33" s="77" t="s">
        <v>43</v>
      </c>
    </row>
    <row r="34" spans="2:18" s="13" customFormat="1" ht="6" customHeight="1">
      <c r="B34" s="187" t="s">
        <v>44</v>
      </c>
      <c r="C34" s="75" t="s">
        <v>18</v>
      </c>
      <c r="D34" s="70" t="s">
        <v>18</v>
      </c>
      <c r="E34" s="70" t="s">
        <v>18</v>
      </c>
      <c r="F34" s="71" t="s">
        <v>30</v>
      </c>
      <c r="G34" s="70" t="s">
        <v>19</v>
      </c>
      <c r="H34" s="70" t="s">
        <v>19</v>
      </c>
      <c r="I34" s="71" t="s">
        <v>19</v>
      </c>
      <c r="J34" s="187" t="s">
        <v>44</v>
      </c>
      <c r="K34" s="66" t="s">
        <v>18</v>
      </c>
      <c r="L34" s="70" t="s">
        <v>18</v>
      </c>
      <c r="M34" s="70" t="s">
        <v>18</v>
      </c>
      <c r="N34" s="71" t="s">
        <v>30</v>
      </c>
      <c r="O34" s="70" t="s">
        <v>18</v>
      </c>
      <c r="P34" s="70" t="s">
        <v>18</v>
      </c>
      <c r="Q34" s="71" t="s">
        <v>18</v>
      </c>
      <c r="R34" s="187" t="s">
        <v>44</v>
      </c>
    </row>
    <row r="35" spans="2:18" s="13" customFormat="1" ht="6" customHeight="1">
      <c r="B35" s="77" t="s">
        <v>45</v>
      </c>
      <c r="C35" s="75" t="s">
        <v>18</v>
      </c>
      <c r="D35" s="70" t="s">
        <v>18</v>
      </c>
      <c r="E35" s="70" t="s">
        <v>18</v>
      </c>
      <c r="F35" s="71" t="s">
        <v>30</v>
      </c>
      <c r="G35" s="70" t="s">
        <v>19</v>
      </c>
      <c r="H35" s="70" t="s">
        <v>19</v>
      </c>
      <c r="I35" s="71" t="s">
        <v>19</v>
      </c>
      <c r="J35" s="77" t="s">
        <v>45</v>
      </c>
      <c r="K35" s="66" t="s">
        <v>18</v>
      </c>
      <c r="L35" s="70" t="s">
        <v>18</v>
      </c>
      <c r="M35" s="70" t="s">
        <v>18</v>
      </c>
      <c r="N35" s="71" t="s">
        <v>30</v>
      </c>
      <c r="O35" s="70" t="s">
        <v>18</v>
      </c>
      <c r="P35" s="70" t="s">
        <v>18</v>
      </c>
      <c r="Q35" s="71" t="s">
        <v>18</v>
      </c>
      <c r="R35" s="77" t="s">
        <v>45</v>
      </c>
    </row>
    <row r="36" spans="2:18" s="13" customFormat="1" ht="6" customHeight="1">
      <c r="B36" s="187" t="s">
        <v>46</v>
      </c>
      <c r="C36" s="75" t="s">
        <v>18</v>
      </c>
      <c r="D36" s="70" t="s">
        <v>18</v>
      </c>
      <c r="E36" s="70" t="s">
        <v>18</v>
      </c>
      <c r="F36" s="71" t="s">
        <v>30</v>
      </c>
      <c r="G36" s="70" t="s">
        <v>19</v>
      </c>
      <c r="H36" s="70" t="s">
        <v>19</v>
      </c>
      <c r="I36" s="71" t="s">
        <v>19</v>
      </c>
      <c r="J36" s="187" t="s">
        <v>46</v>
      </c>
      <c r="K36" s="66" t="s">
        <v>18</v>
      </c>
      <c r="L36" s="70" t="s">
        <v>18</v>
      </c>
      <c r="M36" s="70" t="s">
        <v>18</v>
      </c>
      <c r="N36" s="71" t="s">
        <v>30</v>
      </c>
      <c r="O36" s="70" t="s">
        <v>18</v>
      </c>
      <c r="P36" s="70" t="s">
        <v>18</v>
      </c>
      <c r="Q36" s="71" t="s">
        <v>18</v>
      </c>
      <c r="R36" s="187" t="s">
        <v>46</v>
      </c>
    </row>
    <row r="37" spans="2:18" s="13" customFormat="1" ht="6" customHeight="1">
      <c r="B37" s="77" t="s">
        <v>47</v>
      </c>
      <c r="C37" s="75" t="s">
        <v>18</v>
      </c>
      <c r="D37" s="70" t="s">
        <v>18</v>
      </c>
      <c r="E37" s="70" t="s">
        <v>18</v>
      </c>
      <c r="F37" s="71" t="s">
        <v>30</v>
      </c>
      <c r="G37" s="70" t="s">
        <v>19</v>
      </c>
      <c r="H37" s="70" t="s">
        <v>19</v>
      </c>
      <c r="I37" s="71" t="s">
        <v>19</v>
      </c>
      <c r="J37" s="77" t="s">
        <v>47</v>
      </c>
      <c r="K37" s="66" t="s">
        <v>18</v>
      </c>
      <c r="L37" s="70" t="s">
        <v>18</v>
      </c>
      <c r="M37" s="70" t="s">
        <v>18</v>
      </c>
      <c r="N37" s="71" t="s">
        <v>30</v>
      </c>
      <c r="O37" s="70" t="s">
        <v>18</v>
      </c>
      <c r="P37" s="70" t="s">
        <v>18</v>
      </c>
      <c r="Q37" s="71" t="s">
        <v>18</v>
      </c>
      <c r="R37" s="77" t="s">
        <v>47</v>
      </c>
    </row>
    <row r="38" spans="2:18" s="13" customFormat="1" ht="6" customHeight="1">
      <c r="B38" s="187" t="s">
        <v>48</v>
      </c>
      <c r="C38" s="75" t="s">
        <v>18</v>
      </c>
      <c r="D38" s="70" t="s">
        <v>18</v>
      </c>
      <c r="E38" s="70" t="s">
        <v>18</v>
      </c>
      <c r="F38" s="70" t="s">
        <v>19</v>
      </c>
      <c r="G38" s="70" t="s">
        <v>19</v>
      </c>
      <c r="H38" s="70" t="s">
        <v>19</v>
      </c>
      <c r="I38" s="71" t="s">
        <v>19</v>
      </c>
      <c r="J38" s="187" t="s">
        <v>48</v>
      </c>
      <c r="K38" s="66" t="s">
        <v>18</v>
      </c>
      <c r="L38" s="70" t="s">
        <v>18</v>
      </c>
      <c r="M38" s="70" t="s">
        <v>18</v>
      </c>
      <c r="N38" s="70" t="s">
        <v>19</v>
      </c>
      <c r="O38" s="70" t="s">
        <v>18</v>
      </c>
      <c r="P38" s="70" t="s">
        <v>18</v>
      </c>
      <c r="Q38" s="71" t="s">
        <v>18</v>
      </c>
      <c r="R38" s="187" t="s">
        <v>48</v>
      </c>
    </row>
    <row r="39" spans="2:18" s="13" customFormat="1" ht="6" customHeight="1">
      <c r="B39" s="77" t="s">
        <v>49</v>
      </c>
      <c r="C39" s="75" t="s">
        <v>18</v>
      </c>
      <c r="D39" s="70" t="s">
        <v>18</v>
      </c>
      <c r="E39" s="70" t="s">
        <v>18</v>
      </c>
      <c r="F39" s="70" t="s">
        <v>19</v>
      </c>
      <c r="G39" s="70" t="s">
        <v>19</v>
      </c>
      <c r="H39" s="70" t="s">
        <v>19</v>
      </c>
      <c r="I39" s="71" t="s">
        <v>19</v>
      </c>
      <c r="J39" s="77" t="s">
        <v>49</v>
      </c>
      <c r="K39" s="66" t="s">
        <v>18</v>
      </c>
      <c r="L39" s="70" t="s">
        <v>18</v>
      </c>
      <c r="M39" s="70" t="s">
        <v>18</v>
      </c>
      <c r="N39" s="70" t="s">
        <v>19</v>
      </c>
      <c r="O39" s="70" t="s">
        <v>18</v>
      </c>
      <c r="P39" s="70" t="s">
        <v>18</v>
      </c>
      <c r="Q39" s="71" t="s">
        <v>18</v>
      </c>
      <c r="R39" s="77" t="s">
        <v>49</v>
      </c>
    </row>
    <row r="40" spans="2:18" s="13" customFormat="1" ht="6" customHeight="1">
      <c r="B40" s="187" t="s">
        <v>50</v>
      </c>
      <c r="C40" s="75" t="s">
        <v>18</v>
      </c>
      <c r="D40" s="70" t="s">
        <v>18</v>
      </c>
      <c r="E40" s="70" t="s">
        <v>18</v>
      </c>
      <c r="F40" s="70" t="s">
        <v>19</v>
      </c>
      <c r="G40" s="70" t="s">
        <v>19</v>
      </c>
      <c r="H40" s="70" t="s">
        <v>19</v>
      </c>
      <c r="I40" s="71" t="s">
        <v>19</v>
      </c>
      <c r="J40" s="187" t="s">
        <v>50</v>
      </c>
      <c r="K40" s="66" t="s">
        <v>18</v>
      </c>
      <c r="L40" s="70" t="s">
        <v>18</v>
      </c>
      <c r="M40" s="70" t="s">
        <v>18</v>
      </c>
      <c r="N40" s="70" t="s">
        <v>19</v>
      </c>
      <c r="O40" s="70" t="s">
        <v>18</v>
      </c>
      <c r="P40" s="70" t="s">
        <v>18</v>
      </c>
      <c r="Q40" s="71" t="s">
        <v>18</v>
      </c>
      <c r="R40" s="187" t="s">
        <v>50</v>
      </c>
    </row>
    <row r="41" spans="2:18" s="13" customFormat="1" ht="6" customHeight="1">
      <c r="B41" s="77" t="s">
        <v>51</v>
      </c>
      <c r="C41" s="75" t="s">
        <v>18</v>
      </c>
      <c r="D41" s="70" t="s">
        <v>18</v>
      </c>
      <c r="E41" s="70" t="s">
        <v>18</v>
      </c>
      <c r="F41" s="70" t="s">
        <v>19</v>
      </c>
      <c r="G41" s="70" t="s">
        <v>19</v>
      </c>
      <c r="H41" s="70" t="s">
        <v>19</v>
      </c>
      <c r="I41" s="71" t="s">
        <v>19</v>
      </c>
      <c r="J41" s="77" t="s">
        <v>51</v>
      </c>
      <c r="K41" s="66" t="s">
        <v>18</v>
      </c>
      <c r="L41" s="70" t="s">
        <v>18</v>
      </c>
      <c r="M41" s="70" t="s">
        <v>18</v>
      </c>
      <c r="N41" s="70" t="s">
        <v>19</v>
      </c>
      <c r="O41" s="70" t="s">
        <v>18</v>
      </c>
      <c r="P41" s="70" t="s">
        <v>18</v>
      </c>
      <c r="Q41" s="71" t="s">
        <v>18</v>
      </c>
      <c r="R41" s="77" t="s">
        <v>51</v>
      </c>
    </row>
    <row r="42" spans="2:18" s="13" customFormat="1" ht="6" customHeight="1">
      <c r="B42" s="187" t="s">
        <v>52</v>
      </c>
      <c r="C42" s="75" t="s">
        <v>18</v>
      </c>
      <c r="D42" s="70" t="s">
        <v>18</v>
      </c>
      <c r="E42" s="70" t="s">
        <v>18</v>
      </c>
      <c r="F42" s="70" t="s">
        <v>19</v>
      </c>
      <c r="G42" s="70" t="s">
        <v>19</v>
      </c>
      <c r="H42" s="70" t="s">
        <v>19</v>
      </c>
      <c r="I42" s="71" t="s">
        <v>19</v>
      </c>
      <c r="J42" s="187" t="s">
        <v>52</v>
      </c>
      <c r="K42" s="66" t="s">
        <v>18</v>
      </c>
      <c r="L42" s="70" t="s">
        <v>18</v>
      </c>
      <c r="M42" s="70" t="s">
        <v>18</v>
      </c>
      <c r="N42" s="70" t="s">
        <v>19</v>
      </c>
      <c r="O42" s="70" t="s">
        <v>18</v>
      </c>
      <c r="P42" s="70" t="s">
        <v>18</v>
      </c>
      <c r="Q42" s="71" t="s">
        <v>18</v>
      </c>
      <c r="R42" s="187" t="s">
        <v>52</v>
      </c>
    </row>
    <row r="43" spans="2:18" s="13" customFormat="1" ht="6" customHeight="1">
      <c r="B43" s="77" t="s">
        <v>53</v>
      </c>
      <c r="C43" s="75" t="s">
        <v>18</v>
      </c>
      <c r="D43" s="70" t="s">
        <v>18</v>
      </c>
      <c r="E43" s="70" t="s">
        <v>18</v>
      </c>
      <c r="F43" s="70" t="s">
        <v>19</v>
      </c>
      <c r="G43" s="70" t="s">
        <v>19</v>
      </c>
      <c r="H43" s="70" t="s">
        <v>19</v>
      </c>
      <c r="I43" s="71" t="s">
        <v>19</v>
      </c>
      <c r="J43" s="77" t="s">
        <v>53</v>
      </c>
      <c r="K43" s="66" t="s">
        <v>18</v>
      </c>
      <c r="L43" s="70" t="s">
        <v>18</v>
      </c>
      <c r="M43" s="70" t="s">
        <v>18</v>
      </c>
      <c r="N43" s="70" t="s">
        <v>19</v>
      </c>
      <c r="O43" s="70" t="s">
        <v>18</v>
      </c>
      <c r="P43" s="70" t="s">
        <v>18</v>
      </c>
      <c r="Q43" s="71" t="s">
        <v>18</v>
      </c>
      <c r="R43" s="77" t="s">
        <v>53</v>
      </c>
    </row>
    <row r="44" spans="2:18" s="13" customFormat="1" ht="6" customHeight="1">
      <c r="B44" s="186" t="s">
        <v>54</v>
      </c>
      <c r="C44" s="75" t="s">
        <v>18</v>
      </c>
      <c r="D44" s="70" t="s">
        <v>18</v>
      </c>
      <c r="E44" s="70" t="s">
        <v>18</v>
      </c>
      <c r="F44" s="70" t="s">
        <v>19</v>
      </c>
      <c r="G44" s="70" t="s">
        <v>19</v>
      </c>
      <c r="H44" s="70" t="s">
        <v>19</v>
      </c>
      <c r="I44" s="71" t="s">
        <v>19</v>
      </c>
      <c r="J44" s="186" t="s">
        <v>54</v>
      </c>
      <c r="K44" s="66" t="s">
        <v>18</v>
      </c>
      <c r="L44" s="70" t="s">
        <v>18</v>
      </c>
      <c r="M44" s="70" t="s">
        <v>18</v>
      </c>
      <c r="N44" s="70" t="s">
        <v>19</v>
      </c>
      <c r="O44" s="70" t="s">
        <v>18</v>
      </c>
      <c r="P44" s="70" t="s">
        <v>18</v>
      </c>
      <c r="Q44" s="71" t="s">
        <v>18</v>
      </c>
      <c r="R44" s="186" t="s">
        <v>54</v>
      </c>
    </row>
    <row r="45" spans="2:18" s="13" customFormat="1" ht="6" customHeight="1">
      <c r="B45" s="186" t="s">
        <v>55</v>
      </c>
      <c r="C45" s="75" t="s">
        <v>18</v>
      </c>
      <c r="D45" s="70" t="s">
        <v>18</v>
      </c>
      <c r="E45" s="70" t="s">
        <v>18</v>
      </c>
      <c r="F45" s="70" t="s">
        <v>19</v>
      </c>
      <c r="G45" s="70" t="s">
        <v>19</v>
      </c>
      <c r="H45" s="70" t="s">
        <v>19</v>
      </c>
      <c r="I45" s="71" t="s">
        <v>19</v>
      </c>
      <c r="J45" s="186" t="s">
        <v>55</v>
      </c>
      <c r="K45" s="66" t="s">
        <v>18</v>
      </c>
      <c r="L45" s="70" t="s">
        <v>18</v>
      </c>
      <c r="M45" s="70" t="s">
        <v>18</v>
      </c>
      <c r="N45" s="70" t="s">
        <v>19</v>
      </c>
      <c r="O45" s="70" t="s">
        <v>18</v>
      </c>
      <c r="P45" s="70" t="s">
        <v>18</v>
      </c>
      <c r="Q45" s="71" t="s">
        <v>18</v>
      </c>
      <c r="R45" s="186" t="s">
        <v>55</v>
      </c>
    </row>
    <row r="46" spans="2:18" s="13" customFormat="1" ht="6" customHeight="1">
      <c r="B46" s="186" t="s">
        <v>56</v>
      </c>
      <c r="C46" s="75" t="s">
        <v>18</v>
      </c>
      <c r="D46" s="70" t="s">
        <v>18</v>
      </c>
      <c r="E46" s="70" t="s">
        <v>18</v>
      </c>
      <c r="F46" s="70" t="s">
        <v>19</v>
      </c>
      <c r="G46" s="70" t="s">
        <v>19</v>
      </c>
      <c r="H46" s="70" t="s">
        <v>19</v>
      </c>
      <c r="I46" s="71" t="s">
        <v>19</v>
      </c>
      <c r="J46" s="186" t="s">
        <v>56</v>
      </c>
      <c r="K46" s="66" t="s">
        <v>18</v>
      </c>
      <c r="L46" s="70" t="s">
        <v>18</v>
      </c>
      <c r="M46" s="70" t="s">
        <v>18</v>
      </c>
      <c r="N46" s="70" t="s">
        <v>19</v>
      </c>
      <c r="O46" s="70" t="s">
        <v>18</v>
      </c>
      <c r="P46" s="70" t="s">
        <v>18</v>
      </c>
      <c r="Q46" s="71" t="s">
        <v>18</v>
      </c>
      <c r="R46" s="186" t="s">
        <v>56</v>
      </c>
    </row>
    <row r="47" spans="2:18" s="13" customFormat="1" ht="6" customHeight="1">
      <c r="B47" s="187" t="s">
        <v>57</v>
      </c>
      <c r="C47" s="75" t="s">
        <v>18</v>
      </c>
      <c r="D47" s="70" t="s">
        <v>18</v>
      </c>
      <c r="E47" s="70" t="s">
        <v>18</v>
      </c>
      <c r="F47" s="70" t="s">
        <v>19</v>
      </c>
      <c r="G47" s="70" t="s">
        <v>19</v>
      </c>
      <c r="H47" s="70" t="s">
        <v>19</v>
      </c>
      <c r="I47" s="71" t="s">
        <v>19</v>
      </c>
      <c r="J47" s="187" t="s">
        <v>57</v>
      </c>
      <c r="K47" s="66" t="s">
        <v>18</v>
      </c>
      <c r="L47" s="70" t="s">
        <v>18</v>
      </c>
      <c r="M47" s="70" t="s">
        <v>18</v>
      </c>
      <c r="N47" s="70" t="s">
        <v>19</v>
      </c>
      <c r="O47" s="70" t="s">
        <v>18</v>
      </c>
      <c r="P47" s="70" t="s">
        <v>18</v>
      </c>
      <c r="Q47" s="71" t="s">
        <v>18</v>
      </c>
      <c r="R47" s="187" t="s">
        <v>57</v>
      </c>
    </row>
    <row r="48" spans="2:18" s="13" customFormat="1" ht="15.75" hidden="1" customHeight="1">
      <c r="B48" s="17" t="s">
        <v>58</v>
      </c>
      <c r="C48" s="18" t="str">
        <f t="shared" ref="C48:Q48" si="0">IF((COUNTIF(C20:C43,"v"))&gt;(COUNTIF(C20:C43,"m")),"v",IF((COUNTIF(C20:C43,"v"))&lt;(COUNTIF(C20:C43,"m")),"m"))</f>
        <v>m</v>
      </c>
      <c r="D48" s="18" t="str">
        <f t="shared" si="0"/>
        <v>m</v>
      </c>
      <c r="E48" s="18" t="str">
        <f t="shared" si="0"/>
        <v>m</v>
      </c>
      <c r="F48" s="18" t="str">
        <f t="shared" si="0"/>
        <v>v</v>
      </c>
      <c r="G48" s="18" t="str">
        <f t="shared" si="0"/>
        <v>v</v>
      </c>
      <c r="H48" s="18" t="str">
        <f t="shared" si="0"/>
        <v>v</v>
      </c>
      <c r="I48" s="18" t="str">
        <f t="shared" si="0"/>
        <v>v</v>
      </c>
      <c r="J48" s="18" t="b">
        <f t="shared" si="0"/>
        <v>0</v>
      </c>
      <c r="K48" s="18" t="str">
        <f t="shared" si="0"/>
        <v>m</v>
      </c>
      <c r="L48" s="18" t="str">
        <f t="shared" si="0"/>
        <v>m</v>
      </c>
      <c r="M48" s="18" t="str">
        <f t="shared" si="0"/>
        <v>m</v>
      </c>
      <c r="N48" s="18" t="str">
        <f t="shared" si="0"/>
        <v>v</v>
      </c>
      <c r="O48" s="18" t="str">
        <f t="shared" si="0"/>
        <v>m</v>
      </c>
      <c r="P48" s="18" t="str">
        <f t="shared" si="0"/>
        <v>m</v>
      </c>
      <c r="Q48" s="18" t="str">
        <f t="shared" si="0"/>
        <v>m</v>
      </c>
      <c r="R48" s="19"/>
    </row>
    <row r="49" spans="2:19" ht="12.6" hidden="1" customHeight="1">
      <c r="B49" s="20" t="s">
        <v>59</v>
      </c>
      <c r="C49" s="21" t="str">
        <f t="shared" ref="C49:I49" si="1">C47</f>
        <v>m</v>
      </c>
      <c r="D49" s="21" t="str">
        <f t="shared" si="1"/>
        <v>m</v>
      </c>
      <c r="E49" s="21" t="str">
        <f t="shared" si="1"/>
        <v>m</v>
      </c>
      <c r="F49" s="21" t="str">
        <f t="shared" si="1"/>
        <v>v</v>
      </c>
      <c r="G49" s="21" t="str">
        <f t="shared" si="1"/>
        <v>v</v>
      </c>
      <c r="H49" s="21" t="str">
        <f t="shared" si="1"/>
        <v>v</v>
      </c>
      <c r="I49" s="21" t="str">
        <f t="shared" si="1"/>
        <v>v</v>
      </c>
      <c r="J49" s="21"/>
      <c r="K49" s="21" t="str">
        <f t="shared" ref="K49:Q49" si="2">K47</f>
        <v>m</v>
      </c>
      <c r="L49" s="21" t="str">
        <f t="shared" si="2"/>
        <v>m</v>
      </c>
      <c r="M49" s="21" t="str">
        <f t="shared" si="2"/>
        <v>m</v>
      </c>
      <c r="N49" s="21" t="str">
        <f t="shared" si="2"/>
        <v>v</v>
      </c>
      <c r="O49" s="21" t="str">
        <f t="shared" si="2"/>
        <v>m</v>
      </c>
      <c r="P49" s="21" t="str">
        <f t="shared" si="2"/>
        <v>m</v>
      </c>
      <c r="Q49" s="21" t="str">
        <f t="shared" si="2"/>
        <v>m</v>
      </c>
      <c r="R49" s="124"/>
      <c r="S49" s="124"/>
    </row>
    <row r="50" spans="2:19" ht="5.0999999999999996" customHeight="1">
      <c r="B50" s="2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 ht="14.1" customHeight="1">
      <c r="B51" s="124"/>
      <c r="C51" s="124"/>
      <c r="D51" s="171"/>
      <c r="E51" s="124"/>
      <c r="F51" s="96" t="s">
        <v>60</v>
      </c>
      <c r="G51" s="171"/>
      <c r="H51" s="124"/>
      <c r="I51" s="124"/>
      <c r="J51" s="124"/>
      <c r="K51" s="124"/>
      <c r="L51" s="124"/>
      <c r="M51" s="124"/>
      <c r="N51" s="171"/>
      <c r="O51" s="124"/>
      <c r="P51" s="124"/>
      <c r="Q51" s="124"/>
      <c r="R51" s="124"/>
      <c r="S51" s="124"/>
    </row>
    <row r="52" spans="2:19" ht="14.1" customHeight="1">
      <c r="B52" s="171"/>
      <c r="C52" s="171"/>
      <c r="D52" s="23" t="s">
        <v>61</v>
      </c>
      <c r="E52" s="124"/>
      <c r="F52" s="171"/>
      <c r="G52" s="171"/>
      <c r="H52" s="124"/>
      <c r="I52" s="171"/>
      <c r="J52" s="24" t="s">
        <v>61</v>
      </c>
      <c r="K52" s="124"/>
      <c r="L52" s="124"/>
      <c r="M52" s="124"/>
      <c r="N52" s="171"/>
      <c r="O52" s="171"/>
      <c r="P52" s="124"/>
      <c r="Q52" s="124"/>
      <c r="R52" s="124"/>
      <c r="S52" s="124"/>
    </row>
    <row r="53" spans="2:19" ht="14.1" customHeight="1">
      <c r="B53" s="171"/>
      <c r="C53" s="124"/>
      <c r="D53" s="97">
        <v>98</v>
      </c>
      <c r="E53" s="25"/>
      <c r="F53" s="171"/>
      <c r="G53" s="171"/>
      <c r="H53" s="124"/>
      <c r="I53" s="171"/>
      <c r="J53" s="98">
        <v>49</v>
      </c>
      <c r="K53" s="387" t="str">
        <f>H6</f>
        <v>Elternteil A</v>
      </c>
      <c r="L53" s="387"/>
      <c r="M53" s="124"/>
      <c r="N53" s="171"/>
      <c r="O53" s="124"/>
      <c r="P53" s="38"/>
      <c r="Q53" s="39"/>
      <c r="R53" s="124"/>
      <c r="S53" s="26"/>
    </row>
    <row r="54" spans="2:19" ht="14.1" customHeight="1">
      <c r="B54" s="171"/>
      <c r="C54" s="27"/>
      <c r="D54" s="124" t="s">
        <v>62</v>
      </c>
      <c r="E54" s="28"/>
      <c r="F54" s="171"/>
      <c r="G54" s="171"/>
      <c r="H54" s="124"/>
      <c r="I54" s="171"/>
      <c r="J54" s="98">
        <v>49</v>
      </c>
      <c r="K54" s="388" t="str">
        <f>K6</f>
        <v>Elternteil B</v>
      </c>
      <c r="L54" s="388"/>
      <c r="M54" s="124"/>
      <c r="N54" s="124"/>
      <c r="O54" s="124"/>
      <c r="P54" s="124"/>
      <c r="Q54" s="124"/>
      <c r="R54" s="124"/>
      <c r="S54" s="124"/>
    </row>
    <row r="55" spans="2:19" ht="12.75">
      <c r="B55" s="124"/>
      <c r="C55" s="124"/>
      <c r="D55" s="124"/>
      <c r="E55" s="124"/>
      <c r="F55" s="124"/>
      <c r="G55" s="124"/>
      <c r="H55" s="124"/>
      <c r="I55" s="8"/>
      <c r="J55" s="163"/>
      <c r="K55" s="389" t="str">
        <f>N6</f>
        <v>Staat</v>
      </c>
      <c r="L55" s="389"/>
      <c r="M55" s="124"/>
      <c r="N55" s="124"/>
      <c r="O55" s="8"/>
      <c r="P55" s="8"/>
      <c r="Q55" s="8"/>
      <c r="R55" s="124"/>
      <c r="S55" s="124"/>
    </row>
    <row r="56" spans="2:19" ht="14.1" hidden="1" customHeight="1">
      <c r="B56" s="8" t="s">
        <v>63</v>
      </c>
      <c r="C56" s="8"/>
      <c r="D56" s="8"/>
      <c r="E56" s="124"/>
      <c r="F56" s="8" t="s">
        <v>63</v>
      </c>
      <c r="G56" s="8"/>
      <c r="H56" s="8"/>
      <c r="I56" s="124"/>
      <c r="J56" s="8" t="s">
        <v>63</v>
      </c>
      <c r="K56" s="8"/>
      <c r="L56" s="8"/>
      <c r="M56" s="124"/>
      <c r="N56" s="124"/>
      <c r="O56" s="8" t="s">
        <v>64</v>
      </c>
      <c r="P56" s="8"/>
      <c r="Q56" s="8"/>
      <c r="R56" s="124"/>
      <c r="S56" s="124"/>
    </row>
    <row r="57" spans="2:19" ht="14.1" hidden="1" customHeight="1">
      <c r="B57" s="124" t="s">
        <v>65</v>
      </c>
      <c r="C57" s="124"/>
      <c r="D57" s="24"/>
      <c r="E57" s="124"/>
      <c r="F57" s="29">
        <f>365-D53</f>
        <v>267</v>
      </c>
      <c r="G57" s="29" t="s">
        <v>66</v>
      </c>
      <c r="H57" s="24"/>
      <c r="I57" s="124"/>
      <c r="J57" s="29">
        <f>D53</f>
        <v>98</v>
      </c>
      <c r="K57" s="29" t="s">
        <v>67</v>
      </c>
      <c r="L57" s="24"/>
      <c r="M57" s="124"/>
      <c r="N57" s="124"/>
      <c r="O57" s="124" t="s">
        <v>68</v>
      </c>
      <c r="P57" s="124"/>
      <c r="Q57" s="30" t="s">
        <v>69</v>
      </c>
      <c r="R57" s="24" t="s">
        <v>70</v>
      </c>
      <c r="S57" s="124"/>
    </row>
    <row r="58" spans="2:19" ht="14.1" hidden="1" customHeight="1">
      <c r="B58" s="124"/>
      <c r="C58" s="31" t="str">
        <f>K53</f>
        <v>Elternteil A</v>
      </c>
      <c r="D58" s="32">
        <f>COUNTIF(C16:Q43,"m")/2+COUNTIF(C10:Q15,"m")+COUNTIF(C44:Q47,"m")</f>
        <v>167</v>
      </c>
      <c r="E58" s="124"/>
      <c r="F58" s="124"/>
      <c r="G58" s="31" t="str">
        <f>K53</f>
        <v>Elternteil A</v>
      </c>
      <c r="H58" s="32">
        <f>((365-D53)/7)*(D58/2)</f>
        <v>3184.9285714285716</v>
      </c>
      <c r="I58" s="124"/>
      <c r="J58" s="124"/>
      <c r="K58" s="31" t="str">
        <f>K53</f>
        <v>Elternteil A</v>
      </c>
      <c r="L58" s="32">
        <f>J53*24</f>
        <v>1176</v>
      </c>
      <c r="M58" s="124"/>
      <c r="N58" s="124"/>
      <c r="O58" s="124"/>
      <c r="P58" s="31" t="str">
        <f>K53</f>
        <v>Elternteil A</v>
      </c>
      <c r="Q58" s="32">
        <f>H58+L58</f>
        <v>4360.9285714285716</v>
      </c>
      <c r="R58" s="33">
        <f>Q58/(Q58+Q59+Q60)</f>
        <v>0.49782289628180043</v>
      </c>
      <c r="S58" s="124"/>
    </row>
    <row r="59" spans="2:19" ht="14.1" hidden="1" customHeight="1">
      <c r="B59" s="124"/>
      <c r="C59" s="34" t="str">
        <f>K54</f>
        <v>Elternteil B</v>
      </c>
      <c r="D59" s="32">
        <f>COUNTIF(C16:Q43,"v")/2+COUNTIF(C10:Q15,"v")+COUNTIF(C44:Q47,"v")</f>
        <v>95</v>
      </c>
      <c r="E59" s="124"/>
      <c r="F59" s="124"/>
      <c r="G59" s="34" t="str">
        <f>K54</f>
        <v>Elternteil B</v>
      </c>
      <c r="H59" s="32">
        <f>((365-D53)/7)*(D59/2)</f>
        <v>1811.7857142857144</v>
      </c>
      <c r="I59" s="124"/>
      <c r="J59" s="124"/>
      <c r="K59" s="34" t="str">
        <f>K54</f>
        <v>Elternteil B</v>
      </c>
      <c r="L59" s="32">
        <f>J54*24</f>
        <v>1176</v>
      </c>
      <c r="M59" s="124"/>
      <c r="N59" s="124"/>
      <c r="O59" s="124"/>
      <c r="P59" s="34" t="str">
        <f>K54</f>
        <v>Elternteil B</v>
      </c>
      <c r="Q59" s="32">
        <f>H59+L59</f>
        <v>2987.7857142857147</v>
      </c>
      <c r="R59" s="33">
        <f>Q59/(Q58+Q59+Q60)</f>
        <v>0.34107142857142864</v>
      </c>
      <c r="S59" s="124"/>
    </row>
    <row r="60" spans="2:19" ht="14.1" hidden="1" customHeight="1">
      <c r="B60" s="124"/>
      <c r="C60" s="35" t="str">
        <f>K55</f>
        <v>Staat</v>
      </c>
      <c r="D60" s="32">
        <f>COUNTIF(C16:Q43,"s")/2+COUNTIF(C10:Q15,"s")+COUNTIF(C44:Q47,"s")</f>
        <v>74</v>
      </c>
      <c r="E60" s="124"/>
      <c r="F60" s="124"/>
      <c r="G60" s="35" t="str">
        <f>K55</f>
        <v>Staat</v>
      </c>
      <c r="H60" s="32">
        <f>((365-D53)/7)*(D60/2)</f>
        <v>1411.2857142857144</v>
      </c>
      <c r="I60" s="124"/>
      <c r="J60" s="124"/>
      <c r="K60" s="35" t="str">
        <f>K55</f>
        <v>Staat</v>
      </c>
      <c r="L60" s="32">
        <f>J55*24</f>
        <v>0</v>
      </c>
      <c r="M60" s="124"/>
      <c r="N60" s="124"/>
      <c r="O60" s="124"/>
      <c r="P60" s="35" t="str">
        <f>K55</f>
        <v>Staat</v>
      </c>
      <c r="Q60" s="32">
        <f>H60+L60</f>
        <v>1411.2857142857144</v>
      </c>
      <c r="R60" s="33">
        <f>Q60/(Q58+Q59+Q60)</f>
        <v>0.16110567514677104</v>
      </c>
      <c r="S60" s="124"/>
    </row>
    <row r="61" spans="2:19" ht="9" hidden="1" customHeight="1">
      <c r="B61" s="36"/>
      <c r="C61" s="124"/>
      <c r="D61" s="124"/>
      <c r="E61" s="124"/>
      <c r="F61" s="25"/>
      <c r="G61" s="25"/>
      <c r="H61" s="25"/>
      <c r="I61" s="124"/>
      <c r="J61" s="37"/>
      <c r="K61" s="38"/>
      <c r="L61" s="124"/>
      <c r="M61" s="124"/>
      <c r="N61" s="124"/>
      <c r="O61" s="124"/>
      <c r="P61" s="124"/>
      <c r="Q61" s="124"/>
      <c r="R61" s="124"/>
      <c r="S61" s="124"/>
    </row>
    <row r="62" spans="2:19" ht="15" customHeight="1">
      <c r="B62" s="36"/>
      <c r="C62" s="124"/>
      <c r="D62" s="116" t="s">
        <v>71</v>
      </c>
      <c r="E62" s="124"/>
      <c r="F62" s="124"/>
      <c r="G62" s="25"/>
      <c r="H62" s="25"/>
      <c r="I62" s="124"/>
      <c r="J62" s="124"/>
      <c r="K62" s="124"/>
      <c r="L62" s="124"/>
      <c r="M62" s="124"/>
      <c r="N62" s="124"/>
      <c r="O62" s="124"/>
      <c r="P62" s="38"/>
      <c r="Q62" s="39"/>
      <c r="R62" s="124"/>
      <c r="S62" s="124"/>
    </row>
    <row r="63" spans="2:19" ht="6.95" customHeight="1">
      <c r="B63" s="36"/>
      <c r="C63" s="124"/>
      <c r="D63" s="124"/>
      <c r="E63" s="124"/>
      <c r="F63" s="40"/>
      <c r="G63" s="25"/>
      <c r="H63" s="25"/>
      <c r="I63" s="124"/>
      <c r="J63" s="124"/>
      <c r="K63" s="124"/>
      <c r="L63" s="124"/>
      <c r="M63" s="124"/>
      <c r="N63" s="124"/>
      <c r="O63" s="124"/>
      <c r="P63" s="38"/>
      <c r="Q63" s="156"/>
      <c r="R63" s="156"/>
      <c r="S63" s="156"/>
    </row>
    <row r="64" spans="2:19" ht="14.1" customHeight="1">
      <c r="B64" s="36"/>
      <c r="C64" s="387" t="str">
        <f>K53</f>
        <v>Elternteil A</v>
      </c>
      <c r="D64" s="387"/>
      <c r="E64" s="99">
        <f>Q58/(Q58+Q59+Q60)</f>
        <v>0.49782289628180043</v>
      </c>
      <c r="F64" s="25"/>
      <c r="G64" s="25"/>
      <c r="H64" s="25"/>
      <c r="I64" s="171"/>
      <c r="J64" s="124"/>
      <c r="K64" s="124"/>
      <c r="L64" s="124"/>
      <c r="M64" s="124"/>
      <c r="N64" s="124"/>
      <c r="O64" s="124"/>
      <c r="P64" s="38"/>
      <c r="Q64" s="124"/>
      <c r="R64" s="124"/>
      <c r="S64" s="124"/>
    </row>
    <row r="65" spans="1:19" ht="14.1" customHeight="1">
      <c r="A65" s="124"/>
      <c r="B65" s="36"/>
      <c r="C65" s="388" t="str">
        <f>K54</f>
        <v>Elternteil B</v>
      </c>
      <c r="D65" s="388"/>
      <c r="E65" s="99">
        <f>Q59/(Q58+Q59+Q60)</f>
        <v>0.34107142857142864</v>
      </c>
      <c r="F65" s="25"/>
      <c r="G65" s="25"/>
      <c r="H65" s="25"/>
      <c r="I65" s="171"/>
      <c r="J65" s="124"/>
      <c r="K65" s="124"/>
      <c r="L65" s="124"/>
      <c r="M65" s="124"/>
      <c r="N65" s="124"/>
      <c r="O65" s="124"/>
      <c r="P65" s="38"/>
      <c r="Q65" s="154"/>
      <c r="R65" s="154"/>
      <c r="S65" s="154"/>
    </row>
    <row r="66" spans="1:19" ht="14.1" customHeight="1">
      <c r="A66" s="124"/>
      <c r="B66" s="36"/>
      <c r="C66" s="389" t="str">
        <f>K55</f>
        <v>Staat</v>
      </c>
      <c r="D66" s="389"/>
      <c r="E66" s="99">
        <f>Q60/(Q58+Q59+Q60)</f>
        <v>0.16110567514677104</v>
      </c>
      <c r="F66" s="25"/>
      <c r="G66" s="25"/>
      <c r="H66" s="25"/>
      <c r="I66" s="124"/>
      <c r="J66" s="124"/>
      <c r="K66" s="124"/>
      <c r="L66" s="124"/>
      <c r="M66" s="124"/>
      <c r="N66" s="124"/>
      <c r="O66" s="124"/>
      <c r="P66" s="38"/>
      <c r="Q66" s="39"/>
      <c r="R66" s="124"/>
      <c r="S66" s="124"/>
    </row>
    <row r="67" spans="1:19" ht="8.1" customHeight="1">
      <c r="A67" s="124"/>
      <c r="B67" s="36"/>
      <c r="C67" s="124"/>
      <c r="D67" s="124"/>
      <c r="E67" s="124"/>
      <c r="F67" s="25"/>
      <c r="G67" s="25"/>
      <c r="H67" s="25"/>
      <c r="I67" s="124"/>
      <c r="J67" s="124"/>
      <c r="K67" s="124"/>
      <c r="L67" s="124"/>
      <c r="M67" s="124"/>
      <c r="N67" s="124"/>
      <c r="O67" s="124"/>
      <c r="P67" s="38"/>
      <c r="Q67" s="39"/>
      <c r="R67" s="124"/>
      <c r="S67" s="124"/>
    </row>
    <row r="68" spans="1:19" s="124" customFormat="1" ht="8.1" customHeight="1">
      <c r="B68" s="36"/>
      <c r="F68" s="25"/>
      <c r="G68" s="25"/>
      <c r="H68" s="25"/>
      <c r="P68" s="38"/>
      <c r="Q68" s="39"/>
    </row>
    <row r="69" spans="1:19" s="122" customFormat="1" ht="15.75">
      <c r="A69" s="124"/>
      <c r="B69" s="36"/>
      <c r="C69" s="124"/>
      <c r="D69" s="116" t="s">
        <v>72</v>
      </c>
      <c r="E69" s="124"/>
      <c r="F69" s="124"/>
      <c r="G69" s="124"/>
      <c r="H69" s="124"/>
      <c r="I69" s="124"/>
      <c r="J69" s="37"/>
      <c r="K69" s="38"/>
      <c r="L69" s="124"/>
      <c r="M69" s="124"/>
      <c r="N69" s="124"/>
      <c r="O69" s="124"/>
      <c r="P69" s="38"/>
      <c r="Q69" s="39"/>
      <c r="R69" s="124"/>
      <c r="S69" s="124"/>
    </row>
    <row r="70" spans="1:19" s="124" customFormat="1" ht="8.25" customHeight="1">
      <c r="B70" s="36"/>
      <c r="C70" s="372" t="str">
        <f>IF(F72&lt;&gt;"","Betreuungsplan außer Kraft","")</f>
        <v/>
      </c>
      <c r="D70" s="372"/>
      <c r="E70" s="372"/>
      <c r="F70" s="247" t="s">
        <v>73</v>
      </c>
      <c r="G70" s="247"/>
      <c r="J70" s="37"/>
      <c r="K70" s="38"/>
      <c r="P70" s="38"/>
      <c r="Q70" s="39"/>
    </row>
    <row r="71" spans="1:19" s="122" customFormat="1" ht="15.75">
      <c r="A71" s="124"/>
      <c r="B71" s="36"/>
      <c r="C71" s="372"/>
      <c r="D71" s="372"/>
      <c r="E71" s="372"/>
      <c r="F71" s="247"/>
      <c r="G71" s="247"/>
      <c r="H71" s="124"/>
      <c r="I71" s="124"/>
      <c r="J71" s="37"/>
      <c r="K71" s="38"/>
      <c r="L71" s="124"/>
      <c r="M71" s="124"/>
      <c r="N71" s="124"/>
      <c r="O71" s="124"/>
      <c r="P71" s="38"/>
    </row>
    <row r="72" spans="1:19" s="122" customFormat="1" ht="15.75">
      <c r="A72" s="124"/>
      <c r="B72" s="36"/>
      <c r="C72" s="387" t="str">
        <f>K53</f>
        <v>Elternteil A</v>
      </c>
      <c r="D72" s="387"/>
      <c r="E72" s="167">
        <f>IF(F72=0,(Q58/(Q58+Q59)),F72)</f>
        <v>0.59342742170642093</v>
      </c>
      <c r="F72" s="368"/>
      <c r="G72" s="369"/>
      <c r="H72" s="124"/>
      <c r="I72" s="124"/>
      <c r="J72" s="37"/>
      <c r="K72" s="38"/>
      <c r="L72" s="124"/>
      <c r="M72" s="124"/>
      <c r="N72" s="124"/>
      <c r="O72" s="124"/>
      <c r="P72" s="38"/>
    </row>
    <row r="73" spans="1:19" s="122" customFormat="1" ht="15.75">
      <c r="A73" s="124"/>
      <c r="B73" s="36"/>
      <c r="C73" s="388" t="str">
        <f>K54</f>
        <v>Elternteil B</v>
      </c>
      <c r="D73" s="388"/>
      <c r="E73" s="168">
        <f>IF(F73="",(Q59/(Q58+Q59)),F73)</f>
        <v>0.40657257829357907</v>
      </c>
      <c r="F73" s="370" t="str">
        <f>IF(F72="","",(100%-F72))</f>
        <v/>
      </c>
      <c r="G73" s="371"/>
      <c r="H73" s="124"/>
      <c r="I73" s="124"/>
      <c r="J73" s="37"/>
      <c r="K73" s="38"/>
      <c r="L73" s="124"/>
      <c r="M73" s="124"/>
      <c r="N73" s="124"/>
      <c r="O73" s="124"/>
      <c r="P73" s="38"/>
    </row>
    <row r="74" spans="1:19" s="122" customFormat="1" ht="15.75">
      <c r="A74" s="124"/>
      <c r="B74" s="36"/>
      <c r="C74" s="124"/>
      <c r="D74" s="37"/>
      <c r="E74" s="38"/>
      <c r="F74" s="124"/>
      <c r="G74" s="124"/>
      <c r="H74" s="124"/>
      <c r="I74" s="124"/>
      <c r="J74" s="37"/>
      <c r="K74" s="38"/>
      <c r="L74" s="124"/>
      <c r="M74" s="124"/>
      <c r="N74" s="124"/>
      <c r="O74" s="124"/>
      <c r="P74" s="38"/>
    </row>
    <row r="75" spans="1:19" s="85" customFormat="1" ht="14.45" customHeight="1">
      <c r="A75" s="124"/>
      <c r="B75" s="5" t="s">
        <v>74</v>
      </c>
      <c r="C75" s="124"/>
      <c r="D75" s="124"/>
      <c r="E75" s="124"/>
      <c r="F75" s="25"/>
      <c r="G75" s="25"/>
      <c r="H75" s="25"/>
      <c r="I75" s="124"/>
      <c r="J75" s="37"/>
      <c r="K75" s="38"/>
      <c r="L75" s="124"/>
      <c r="M75" s="225"/>
      <c r="N75" s="225"/>
      <c r="O75" s="124"/>
      <c r="P75" s="38"/>
      <c r="Q75" s="39"/>
      <c r="R75" s="124"/>
      <c r="S75" s="124"/>
    </row>
    <row r="76" spans="1:19" s="83" customFormat="1" ht="12.75">
      <c r="A76" s="124"/>
      <c r="B76" s="124"/>
      <c r="C76" s="173"/>
      <c r="D76" s="173"/>
      <c r="E76" s="124"/>
      <c r="F76" s="124"/>
      <c r="G76" s="124"/>
      <c r="H76" s="124"/>
      <c r="I76" s="124"/>
      <c r="J76" s="124"/>
      <c r="K76" s="251" t="str">
        <f>K53</f>
        <v>Elternteil A</v>
      </c>
      <c r="L76" s="252"/>
      <c r="M76" s="124"/>
      <c r="N76" s="124"/>
      <c r="O76" s="255" t="str">
        <f>K54</f>
        <v>Elternteil B</v>
      </c>
      <c r="P76" s="256"/>
      <c r="Q76" s="124"/>
      <c r="R76" s="203"/>
      <c r="S76" s="2"/>
    </row>
    <row r="77" spans="1:19" ht="5.0999999999999996" customHeight="1">
      <c r="A77" s="3"/>
      <c r="B77" s="173"/>
      <c r="C77" s="17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203"/>
      <c r="R77" s="203"/>
      <c r="S77" s="203"/>
    </row>
    <row r="78" spans="1:19" s="83" customFormat="1" ht="11.85" customHeight="1">
      <c r="A78" s="3"/>
      <c r="B78" s="173"/>
      <c r="C78" s="173"/>
      <c r="D78" s="124"/>
      <c r="E78" s="124"/>
      <c r="F78" s="124"/>
      <c r="G78" s="124"/>
      <c r="H78" s="124"/>
      <c r="I78" s="201" t="s">
        <v>75</v>
      </c>
      <c r="J78" s="119" t="s">
        <v>76</v>
      </c>
      <c r="K78" s="227">
        <v>2200</v>
      </c>
      <c r="L78" s="227"/>
      <c r="M78" s="124"/>
      <c r="N78" s="119" t="s">
        <v>76</v>
      </c>
      <c r="O78" s="228">
        <v>2500</v>
      </c>
      <c r="P78" s="228"/>
      <c r="Q78" s="234" t="s">
        <v>77</v>
      </c>
      <c r="R78" s="234"/>
      <c r="S78" s="203"/>
    </row>
    <row r="79" spans="1:19" s="83" customFormat="1" ht="12.75">
      <c r="A79" s="3"/>
      <c r="B79" s="173"/>
      <c r="C79" s="173"/>
      <c r="D79" s="124"/>
      <c r="E79" s="124"/>
      <c r="F79" s="124"/>
      <c r="G79" s="124"/>
      <c r="H79" s="124"/>
      <c r="I79" s="6"/>
      <c r="J79" s="107"/>
      <c r="K79" s="385" t="str">
        <f>IF(K78&lt;0,"(bitte positive Werte eingeben)",IF(O78&lt;0,"(bitte positive Werte eingeben)",""))</f>
        <v/>
      </c>
      <c r="L79" s="385"/>
      <c r="M79" s="385"/>
      <c r="N79" s="385"/>
      <c r="O79" s="385"/>
      <c r="P79" s="385"/>
      <c r="Q79" s="234"/>
      <c r="R79" s="234"/>
      <c r="S79" s="203"/>
    </row>
    <row r="80" spans="1:19" s="83" customFormat="1" ht="11.85" customHeight="1">
      <c r="A80" s="3"/>
      <c r="B80" s="226" t="s">
        <v>221</v>
      </c>
      <c r="C80" s="226"/>
      <c r="D80" s="226"/>
      <c r="E80" s="226"/>
      <c r="F80" s="226"/>
      <c r="G80" s="226"/>
      <c r="H80" s="226"/>
      <c r="I80" s="226"/>
      <c r="J80" s="204" t="str">
        <f>IF(K81&lt;&gt;"","","(A2)")</f>
        <v>(A2)</v>
      </c>
      <c r="K80" s="380">
        <f>SUM(E85:P85)</f>
        <v>-674</v>
      </c>
      <c r="L80" s="380"/>
      <c r="M80" s="124"/>
      <c r="N80" s="204" t="str">
        <f>IF(O81&lt;&gt;"","","(A2)")</f>
        <v>(A2)</v>
      </c>
      <c r="O80" s="380">
        <f>SUM(E86:P86)</f>
        <v>-712</v>
      </c>
      <c r="P80" s="380"/>
      <c r="Q80" s="235" t="s">
        <v>79</v>
      </c>
      <c r="R80" s="235"/>
      <c r="S80" s="205"/>
    </row>
    <row r="81" spans="1:20" s="124" customFormat="1" ht="11.85" customHeight="1">
      <c r="A81" s="3"/>
      <c r="B81" s="226" t="s">
        <v>222</v>
      </c>
      <c r="C81" s="226"/>
      <c r="D81" s="226"/>
      <c r="E81" s="226"/>
      <c r="F81" s="226"/>
      <c r="G81" s="226"/>
      <c r="H81" s="226"/>
      <c r="I81" s="226"/>
      <c r="J81" s="204" t="str">
        <f>IF(K81&lt;&gt;"","(A2)","")</f>
        <v/>
      </c>
      <c r="K81" s="227"/>
      <c r="L81" s="227"/>
      <c r="N81" s="204" t="str">
        <f>IF(O81&lt;&gt;"","(A2)","")</f>
        <v/>
      </c>
      <c r="O81" s="228"/>
      <c r="P81" s="228"/>
      <c r="Q81" s="235"/>
      <c r="R81" s="235"/>
      <c r="S81" s="205"/>
    </row>
    <row r="82" spans="1:20" s="92" customFormat="1" ht="12.75">
      <c r="B82" s="89"/>
      <c r="C82" s="89"/>
      <c r="D82" s="89"/>
      <c r="E82" s="89"/>
      <c r="F82" s="89"/>
      <c r="G82" s="89"/>
      <c r="H82" s="89"/>
      <c r="I82" s="89" t="str">
        <f>IF(COUNT(F4:Q4)&gt;1,"(Summe Unterhalt für alle Kinder)","")</f>
        <v>(Summe Unterhalt für alle Kinder)</v>
      </c>
      <c r="J82" s="107" t="str">
        <f>IF(K80&gt;0,"(bitte negative Werte eingeben)",IF(O80&gt;0,"(bitte negative Werte eingeben)",""))</f>
        <v/>
      </c>
      <c r="K82" s="229" t="str">
        <f>IF(K81&gt;0,"Bitte negative Werte eingeben.",IF(O81&gt;0,"Bitte negative Werte eingeben.",""))</f>
        <v/>
      </c>
      <c r="L82" s="229"/>
      <c r="M82" s="229"/>
      <c r="N82" s="229"/>
      <c r="O82" s="229"/>
      <c r="P82" s="229"/>
      <c r="Q82" s="235"/>
      <c r="R82" s="235"/>
      <c r="S82" s="205"/>
    </row>
    <row r="83" spans="1:20" s="92" customFormat="1" ht="11.25" customHeight="1">
      <c r="A83" s="192"/>
      <c r="B83" s="396" t="s">
        <v>0</v>
      </c>
      <c r="C83" s="396"/>
      <c r="D83" s="396"/>
      <c r="E83" s="220" t="str">
        <f>'Düsseldorfer Tabelle'!F1</f>
        <v>Tim</v>
      </c>
      <c r="F83" s="221"/>
      <c r="G83" s="220" t="str">
        <f>'Düsseldorfer Tabelle'!G1</f>
        <v>Susi</v>
      </c>
      <c r="H83" s="221"/>
      <c r="I83" s="220" t="str">
        <f>'Düsseldorfer Tabelle'!H1</f>
        <v/>
      </c>
      <c r="J83" s="221"/>
      <c r="K83" s="220" t="str">
        <f>'Düsseldorfer Tabelle'!I1</f>
        <v/>
      </c>
      <c r="L83" s="221"/>
      <c r="M83" s="220" t="str">
        <f>'Düsseldorfer Tabelle'!J1</f>
        <v/>
      </c>
      <c r="N83" s="221"/>
      <c r="O83" s="220" t="str">
        <f>'Düsseldorfer Tabelle'!K1</f>
        <v/>
      </c>
      <c r="P83" s="221"/>
      <c r="S83" s="205"/>
    </row>
    <row r="84" spans="1:20" s="92" customFormat="1" ht="11.25" customHeight="1">
      <c r="A84" s="192"/>
      <c r="B84" s="396" t="s">
        <v>2</v>
      </c>
      <c r="C84" s="396"/>
      <c r="D84" s="396"/>
      <c r="E84" s="230">
        <f>'Düsseldorfer Tabelle'!F2</f>
        <v>11</v>
      </c>
      <c r="F84" s="231"/>
      <c r="G84" s="230">
        <f>'Düsseldorfer Tabelle'!G2</f>
        <v>7</v>
      </c>
      <c r="H84" s="231"/>
      <c r="I84" s="230" t="str">
        <f>'Düsseldorfer Tabelle'!H2</f>
        <v/>
      </c>
      <c r="J84" s="231"/>
      <c r="K84" s="230" t="str">
        <f>'Düsseldorfer Tabelle'!I2</f>
        <v/>
      </c>
      <c r="L84" s="231"/>
      <c r="M84" s="230" t="str">
        <f>'Düsseldorfer Tabelle'!J2</f>
        <v/>
      </c>
      <c r="N84" s="231"/>
      <c r="O84" s="230" t="str">
        <f>'Düsseldorfer Tabelle'!K2</f>
        <v/>
      </c>
      <c r="P84" s="231"/>
      <c r="S84" s="205"/>
    </row>
    <row r="85" spans="1:20" s="92" customFormat="1" ht="11.25" customHeight="1">
      <c r="A85" s="192"/>
      <c r="B85" s="222" t="str">
        <f>'Düsseldorfer Tabelle'!E4</f>
        <v>Unterhalt DT Elternteil A</v>
      </c>
      <c r="C85" s="223"/>
      <c r="D85" s="224"/>
      <c r="E85" s="218">
        <f>IF(E83="","",'Düsseldorfer Tabelle'!F4*-1)</f>
        <v>-337</v>
      </c>
      <c r="F85" s="219"/>
      <c r="G85" s="218">
        <f>IF(G83="","",'Düsseldorfer Tabelle'!G4*-1)</f>
        <v>-337</v>
      </c>
      <c r="H85" s="219"/>
      <c r="I85" s="218" t="str">
        <f>IF(I83="","",'Düsseldorfer Tabelle'!H4*-1)</f>
        <v/>
      </c>
      <c r="J85" s="219"/>
      <c r="K85" s="218" t="str">
        <f>IF(K83="","",'Düsseldorfer Tabelle'!I4*-1)</f>
        <v/>
      </c>
      <c r="L85" s="219"/>
      <c r="M85" s="220" t="str">
        <f>IF(M83="","",'Düsseldorfer Tabelle'!J4*-1)</f>
        <v/>
      </c>
      <c r="N85" s="221"/>
      <c r="O85" s="220" t="str">
        <f>IF(O83="","",'Düsseldorfer Tabelle'!K4*-1)</f>
        <v/>
      </c>
      <c r="P85" s="221"/>
      <c r="S85" s="205"/>
    </row>
    <row r="86" spans="1:20" s="92" customFormat="1" ht="11.25" customHeight="1">
      <c r="A86" s="192"/>
      <c r="B86" s="397" t="str">
        <f>'Düsseldorfer Tabelle'!E5</f>
        <v>Unterhalt DT Elternteil B</v>
      </c>
      <c r="C86" s="398"/>
      <c r="D86" s="399"/>
      <c r="E86" s="218">
        <f>IF(E84="","",'Düsseldorfer Tabelle'!F5*-1)</f>
        <v>-356</v>
      </c>
      <c r="F86" s="219"/>
      <c r="G86" s="218">
        <f>IF(G84="","",'Düsseldorfer Tabelle'!G5*-1)</f>
        <v>-356</v>
      </c>
      <c r="H86" s="219"/>
      <c r="I86" s="218" t="str">
        <f>IF(I84="","",'Düsseldorfer Tabelle'!H5*-1)</f>
        <v/>
      </c>
      <c r="J86" s="219"/>
      <c r="K86" s="218" t="str">
        <f>IF(K84="","",'Düsseldorfer Tabelle'!I5*-1)</f>
        <v/>
      </c>
      <c r="L86" s="219"/>
      <c r="M86" s="220" t="str">
        <f>IF(M84="","",'Düsseldorfer Tabelle'!J5*-1)</f>
        <v/>
      </c>
      <c r="N86" s="221"/>
      <c r="O86" s="220" t="str">
        <f>IF(O84="","",'Düsseldorfer Tabelle'!K5*-1)</f>
        <v/>
      </c>
      <c r="P86" s="221"/>
      <c r="S86" s="205"/>
    </row>
    <row r="87" spans="1:20" s="92" customFormat="1" ht="12.75">
      <c r="A87" s="192"/>
      <c r="B87" s="192"/>
      <c r="C87" s="192"/>
      <c r="D87" s="192"/>
      <c r="E87" s="192"/>
      <c r="F87" s="192"/>
      <c r="G87" s="192"/>
      <c r="H87" s="192"/>
      <c r="I87" s="192"/>
      <c r="J87" s="107"/>
      <c r="K87" s="107"/>
      <c r="L87" s="107"/>
      <c r="O87" s="107"/>
      <c r="P87" s="107"/>
      <c r="Q87" s="206"/>
      <c r="R87" s="206"/>
      <c r="S87" s="205"/>
    </row>
    <row r="88" spans="1:20" s="83" customFormat="1" ht="11.85" customHeight="1">
      <c r="A88" s="3"/>
      <c r="B88" s="173"/>
      <c r="C88" s="173"/>
      <c r="D88" s="173"/>
      <c r="E88" s="207"/>
      <c r="F88" s="207"/>
      <c r="G88" s="124"/>
      <c r="H88" s="124"/>
      <c r="I88" s="201" t="s">
        <v>80</v>
      </c>
      <c r="J88" s="204" t="s">
        <v>81</v>
      </c>
      <c r="K88" s="227">
        <v>384</v>
      </c>
      <c r="L88" s="227"/>
      <c r="M88" s="386" t="str">
        <f>CONCATENATE("(",ROUND((K88+O88),0)," €)")</f>
        <v>(384 €)</v>
      </c>
      <c r="N88" s="386"/>
      <c r="O88" s="228"/>
      <c r="P88" s="228"/>
      <c r="Q88" s="124"/>
      <c r="R88" s="124"/>
      <c r="S88" s="2"/>
      <c r="T88" s="124"/>
    </row>
    <row r="89" spans="1:20" s="83" customFormat="1" ht="12" customHeight="1">
      <c r="A89" s="3"/>
      <c r="B89" s="173"/>
      <c r="C89" s="173"/>
      <c r="D89" s="173"/>
      <c r="E89" s="207"/>
      <c r="F89" s="207"/>
      <c r="G89" s="124"/>
      <c r="H89" s="124"/>
      <c r="I89" s="89" t="s">
        <v>207</v>
      </c>
      <c r="J89" s="107" t="str">
        <f>IF(K88&lt;0,"(bitte positive Werte eingeben)",IF(O88&lt;0,"(bitte positive Werte eingeben)",""))</f>
        <v/>
      </c>
      <c r="K89" s="107"/>
      <c r="L89" s="107"/>
      <c r="M89" s="108"/>
      <c r="N89" s="108"/>
      <c r="O89" s="107"/>
      <c r="P89" s="107"/>
      <c r="Q89" s="124"/>
      <c r="R89" s="124"/>
      <c r="S89" s="2"/>
      <c r="T89" s="124"/>
    </row>
    <row r="90" spans="1:20" s="83" customFormat="1" ht="11.85" customHeight="1">
      <c r="A90" s="3"/>
      <c r="B90" s="390" t="str">
        <f>CONCATENATE("Fixkosten / Abbuchungen für ",IF(COUNTA(F4:Q4)&gt;1,"Kinder ","Kind "),"pro Monat")</f>
        <v>Fixkosten / Abbuchungen für Kinder pro Monat</v>
      </c>
      <c r="C90" s="390"/>
      <c r="D90" s="390"/>
      <c r="E90" s="390"/>
      <c r="F90" s="390"/>
      <c r="G90" s="390"/>
      <c r="H90" s="390"/>
      <c r="I90" s="390"/>
      <c r="J90" s="204" t="s">
        <v>82</v>
      </c>
      <c r="K90" s="227">
        <v>-120</v>
      </c>
      <c r="L90" s="227"/>
      <c r="M90" s="386" t="str">
        <f>CONCATENATE("(",ROUND((K90+O90),0)," €)")</f>
        <v>(-120 €)</v>
      </c>
      <c r="N90" s="386"/>
      <c r="O90" s="228"/>
      <c r="P90" s="228"/>
      <c r="Q90" s="173"/>
      <c r="R90" s="173"/>
      <c r="S90" s="2"/>
      <c r="T90" s="124"/>
    </row>
    <row r="91" spans="1:20" s="92" customFormat="1" ht="10.5" customHeight="1">
      <c r="A91" s="90"/>
      <c r="B91" s="91"/>
      <c r="C91" s="91"/>
      <c r="D91" s="91"/>
      <c r="E91" s="208"/>
      <c r="F91" s="208"/>
      <c r="I91" s="89" t="s">
        <v>83</v>
      </c>
      <c r="K91" s="217" t="str">
        <f>IF(K90&gt;0,"(bitte negative Werte eingeben)",IF(O90&gt;0,"(bitte negative Werte eingeben)",""))</f>
        <v/>
      </c>
      <c r="L91" s="217"/>
      <c r="M91" s="217"/>
      <c r="N91" s="217"/>
      <c r="O91" s="217"/>
      <c r="P91" s="217"/>
      <c r="Q91" s="91"/>
      <c r="R91" s="91"/>
      <c r="S91" s="93"/>
    </row>
    <row r="92" spans="1:20" s="92" customFormat="1" ht="8.1" customHeight="1">
      <c r="A92" s="90"/>
      <c r="B92" s="91"/>
      <c r="C92" s="91"/>
      <c r="D92" s="91"/>
      <c r="E92" s="208"/>
      <c r="F92" s="208"/>
      <c r="I92" s="89"/>
      <c r="J92" s="195"/>
      <c r="K92" s="195"/>
      <c r="L92" s="195"/>
      <c r="M92" s="195"/>
      <c r="N92" s="195"/>
      <c r="O92" s="195"/>
      <c r="P92" s="91"/>
      <c r="Q92" s="91"/>
      <c r="R92" s="91"/>
      <c r="S92" s="93"/>
    </row>
    <row r="93" spans="1:20" ht="12.75">
      <c r="A93" s="124"/>
      <c r="B93" s="5" t="s">
        <v>84</v>
      </c>
      <c r="C93" s="124"/>
      <c r="D93" s="124"/>
      <c r="E93" s="124"/>
      <c r="F93" s="25"/>
      <c r="G93" s="25"/>
      <c r="H93" s="25"/>
      <c r="I93" s="124"/>
      <c r="J93" s="37"/>
      <c r="K93" s="38"/>
      <c r="L93" s="124"/>
      <c r="M93" s="124"/>
      <c r="N93" s="124"/>
      <c r="O93" s="124"/>
      <c r="P93" s="38"/>
      <c r="Q93" s="39"/>
      <c r="R93" s="124"/>
      <c r="S93" s="124"/>
      <c r="T93" s="124"/>
    </row>
    <row r="94" spans="1:20" ht="14.1" customHeight="1">
      <c r="A94" s="171"/>
      <c r="B94" s="41"/>
      <c r="C94" s="124"/>
      <c r="D94" s="124"/>
      <c r="E94" s="124"/>
      <c r="F94" s="124"/>
      <c r="G94" s="124"/>
      <c r="H94" s="124"/>
      <c r="I94" s="124"/>
      <c r="J94" s="124"/>
      <c r="K94" s="251" t="str">
        <f>H6</f>
        <v>Elternteil A</v>
      </c>
      <c r="L94" s="252"/>
      <c r="M94" s="315"/>
      <c r="N94" s="315"/>
      <c r="O94" s="255" t="str">
        <f>K54</f>
        <v>Elternteil B</v>
      </c>
      <c r="P94" s="256"/>
      <c r="Q94" s="39"/>
      <c r="R94" s="124"/>
      <c r="S94" s="124"/>
      <c r="T94" s="124"/>
    </row>
    <row r="95" spans="1:20" ht="12.75">
      <c r="A95" s="124"/>
      <c r="B95" s="257"/>
      <c r="C95" s="257"/>
      <c r="D95" s="257"/>
      <c r="E95" s="257"/>
      <c r="F95" s="124"/>
      <c r="G95" s="124"/>
      <c r="H95" s="124"/>
      <c r="I95" s="102" t="s">
        <v>85</v>
      </c>
      <c r="J95" s="100"/>
      <c r="K95" s="258">
        <f>E72</f>
        <v>0.59342742170642093</v>
      </c>
      <c r="L95" s="258"/>
      <c r="M95" s="289"/>
      <c r="N95" s="290"/>
      <c r="O95" s="258">
        <f>E73</f>
        <v>0.40657257829357907</v>
      </c>
      <c r="P95" s="258"/>
      <c r="Q95" s="39"/>
      <c r="R95" s="124"/>
      <c r="S95" s="124"/>
      <c r="T95" s="124"/>
    </row>
    <row r="96" spans="1:20" ht="12.75">
      <c r="A96" s="124"/>
      <c r="B96" s="184"/>
      <c r="C96" s="184"/>
      <c r="D96" s="184"/>
      <c r="E96" s="184"/>
      <c r="F96" s="171"/>
      <c r="G96" s="124"/>
      <c r="H96" s="124"/>
      <c r="I96" s="103" t="s">
        <v>86</v>
      </c>
      <c r="J96" s="101"/>
      <c r="K96" s="258">
        <f>1-K95</f>
        <v>0.40657257829357907</v>
      </c>
      <c r="L96" s="258"/>
      <c r="M96" s="313"/>
      <c r="N96" s="314"/>
      <c r="O96" s="258">
        <f>1-O95</f>
        <v>0.59342742170642093</v>
      </c>
      <c r="P96" s="258"/>
      <c r="Q96" s="43"/>
      <c r="R96" s="2"/>
      <c r="S96" s="124"/>
      <c r="T96" s="124"/>
    </row>
    <row r="97" spans="1:22" ht="12.75">
      <c r="A97" s="124"/>
      <c r="B97" s="124"/>
      <c r="C97" s="124"/>
      <c r="D97" s="124"/>
      <c r="E97" s="124"/>
      <c r="F97" s="124"/>
      <c r="G97" s="124"/>
      <c r="H97" s="124"/>
      <c r="I97" s="103" t="s">
        <v>78</v>
      </c>
      <c r="J97" s="169" t="s">
        <v>87</v>
      </c>
      <c r="K97" s="285">
        <f>IF(K81&lt;&gt;"",K81,K80)</f>
        <v>-674</v>
      </c>
      <c r="L97" s="286"/>
      <c r="M97" s="287"/>
      <c r="N97" s="288"/>
      <c r="O97" s="285">
        <f>IF(O81&lt;&gt;"",O81,O80)</f>
        <v>-712</v>
      </c>
      <c r="P97" s="286"/>
      <c r="Q97" s="157"/>
      <c r="R97" s="158"/>
      <c r="S97" s="158"/>
      <c r="T97" s="44"/>
    </row>
    <row r="98" spans="1:22" ht="14.45" customHeight="1" thickBot="1">
      <c r="A98" s="124"/>
      <c r="B98" s="124"/>
      <c r="C98" s="124"/>
      <c r="D98" s="124"/>
      <c r="E98" s="124"/>
      <c r="F98" s="124"/>
      <c r="G98" s="124"/>
      <c r="H98" s="124"/>
      <c r="I98" s="102" t="s">
        <v>88</v>
      </c>
      <c r="J98" s="169" t="s">
        <v>89</v>
      </c>
      <c r="K98" s="271">
        <f>K97*(1-K95)</f>
        <v>-274.02991776987227</v>
      </c>
      <c r="L98" s="272"/>
      <c r="M98" s="304"/>
      <c r="N98" s="304"/>
      <c r="O98" s="305">
        <f>O97*(1-O95)</f>
        <v>-422.52032425497168</v>
      </c>
      <c r="P98" s="305"/>
      <c r="Q98" s="39"/>
      <c r="R98" s="124"/>
      <c r="S98" s="2"/>
      <c r="T98" s="124"/>
    </row>
    <row r="99" spans="1:22" s="85" customFormat="1" ht="14.45" customHeight="1" thickBot="1">
      <c r="A99" s="124"/>
      <c r="B99" s="124"/>
      <c r="C99" s="124"/>
      <c r="D99" s="124"/>
      <c r="E99" s="124"/>
      <c r="F99" s="124"/>
      <c r="G99" s="124"/>
      <c r="H99" s="124"/>
      <c r="I99" s="102" t="s">
        <v>90</v>
      </c>
      <c r="J99" s="169" t="s">
        <v>91</v>
      </c>
      <c r="K99" s="279">
        <f>K98+O98</f>
        <v>-696.55024202484401</v>
      </c>
      <c r="L99" s="279"/>
      <c r="M99" s="279"/>
      <c r="N99" s="279"/>
      <c r="O99" s="279"/>
      <c r="P99" s="279"/>
      <c r="Q99" s="39"/>
      <c r="R99" s="124"/>
      <c r="S99" s="2"/>
      <c r="T99" s="124"/>
    </row>
    <row r="100" spans="1:22" s="124" customFormat="1" ht="14.45" customHeight="1" thickTop="1">
      <c r="B100" s="45" t="str">
        <f>IF(COUNTA(F4:Q4)&gt;1,"4. Budget Kinder","Budget Kind:")</f>
        <v>4. Budget Kinder</v>
      </c>
      <c r="I100" s="102"/>
      <c r="J100" s="173"/>
      <c r="K100" s="171"/>
      <c r="L100" s="46"/>
      <c r="O100" s="264"/>
      <c r="P100" s="264"/>
      <c r="Q100" s="39"/>
      <c r="S100" s="2"/>
    </row>
    <row r="101" spans="1:22" s="124" customFormat="1" ht="14.45" customHeight="1">
      <c r="I101" s="102"/>
      <c r="M101" s="262" t="s">
        <v>92</v>
      </c>
      <c r="N101" s="263"/>
      <c r="O101" s="88"/>
      <c r="P101" s="105"/>
      <c r="Q101" s="39"/>
      <c r="S101" s="2"/>
    </row>
    <row r="102" spans="1:22" s="124" customFormat="1" ht="14.45" customHeight="1">
      <c r="I102" s="102"/>
      <c r="J102" s="6" t="s">
        <v>90</v>
      </c>
      <c r="K102" s="259" t="s">
        <v>93</v>
      </c>
      <c r="L102" s="250"/>
      <c r="M102" s="260">
        <f>(K98+O98)*-1</f>
        <v>696.55024202484401</v>
      </c>
      <c r="N102" s="260"/>
      <c r="O102" s="88"/>
      <c r="P102" s="105"/>
      <c r="Q102" s="39"/>
      <c r="S102" s="2"/>
    </row>
    <row r="103" spans="1:22" s="124" customFormat="1" ht="14.45" customHeight="1" thickBot="1">
      <c r="I103" s="102"/>
      <c r="J103" s="6" t="s">
        <v>94</v>
      </c>
      <c r="K103" s="259" t="s">
        <v>95</v>
      </c>
      <c r="L103" s="250"/>
      <c r="M103" s="261">
        <f>K88+O88</f>
        <v>384</v>
      </c>
      <c r="N103" s="261"/>
      <c r="O103" s="88"/>
      <c r="P103" s="151"/>
      <c r="Q103" s="151"/>
      <c r="R103" s="151"/>
      <c r="S103" s="151"/>
      <c r="T103" s="151"/>
      <c r="U103" s="151"/>
    </row>
    <row r="104" spans="1:22" s="124" customFormat="1" ht="14.45" customHeight="1" thickBot="1">
      <c r="I104" s="102"/>
      <c r="J104" s="51" t="str">
        <f>CONCATENATE("Budget ",IF(COUNTA(F4:Q4)&gt;1,"Kinder","Kind")," (Barunterhalt und Zuwendungen)")</f>
        <v>Budget Kinder (Barunterhalt und Zuwendungen)</v>
      </c>
      <c r="K104" s="259" t="s">
        <v>96</v>
      </c>
      <c r="L104" s="259"/>
      <c r="M104" s="273">
        <f>M102+M103</f>
        <v>1080.550242024844</v>
      </c>
      <c r="N104" s="274"/>
      <c r="O104" s="88"/>
      <c r="P104" s="151"/>
      <c r="Q104" s="151"/>
      <c r="R104" s="151"/>
      <c r="S104" s="151"/>
      <c r="T104" s="151"/>
      <c r="U104" s="151"/>
    </row>
    <row r="105" spans="1:22" s="124" customFormat="1" ht="14.45" customHeight="1" thickTop="1" thickBot="1">
      <c r="I105" s="102"/>
      <c r="J105" s="51"/>
      <c r="K105" s="177"/>
      <c r="L105" s="177"/>
      <c r="M105" s="150"/>
      <c r="N105" s="150"/>
      <c r="O105" s="88"/>
      <c r="P105" s="149"/>
      <c r="Q105" s="149"/>
      <c r="R105" s="149"/>
      <c r="S105" s="149"/>
      <c r="T105" s="149"/>
      <c r="U105" s="149"/>
    </row>
    <row r="106" spans="1:22" s="124" customFormat="1" ht="14.45" customHeight="1" thickBot="1">
      <c r="B106" s="240" t="str">
        <f>CONCATENATE("Es stehen ",ROUND(M104,0)," €  für",(IF(COUNTA(F4:Q4&gt;1)," die Kinder"," das Kind"))," zur Verfügung")</f>
        <v>Es stehen 1081 €  für die Kinder zur Verfügung</v>
      </c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2"/>
      <c r="S106" s="149"/>
      <c r="T106" s="149"/>
      <c r="U106" s="149"/>
    </row>
    <row r="107" spans="1:22" s="124" customFormat="1" ht="14.45" customHeight="1"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149"/>
      <c r="T107" s="149"/>
      <c r="U107" s="149"/>
    </row>
    <row r="108" spans="1:22" s="124" customFormat="1" ht="14.45" customHeight="1">
      <c r="I108" s="102"/>
      <c r="J108" s="51"/>
      <c r="L108" s="104"/>
      <c r="Q108" s="39"/>
      <c r="S108" s="2"/>
    </row>
    <row r="109" spans="1:22" s="124" customFormat="1" ht="14.45" customHeight="1" thickBot="1">
      <c r="I109" s="102"/>
      <c r="J109" s="103" t="str">
        <f>CONCATENATE("Summe Fixkosten / Abbuchungen für",IF(COUNTA(F4:Q4)&gt;1," Kinder"," Kind")," pro Monat")</f>
        <v>Summe Fixkosten / Abbuchungen für Kinder pro Monat</v>
      </c>
      <c r="K109" s="306" t="s">
        <v>97</v>
      </c>
      <c r="L109" s="307"/>
      <c r="M109" s="261">
        <f>K90+O90</f>
        <v>-120</v>
      </c>
      <c r="N109" s="261"/>
      <c r="Q109" s="39"/>
      <c r="S109" s="2"/>
    </row>
    <row r="110" spans="1:22" s="85" customFormat="1" ht="14.45" customHeight="1" thickBot="1">
      <c r="A110" s="238" t="str">
        <f>CONCATENATE("Budget ",IF(COUNTA(F4:Q4)&gt;1,"Kinder","Kind")," nach Abzug der Fixkosten und Abbuchungen")</f>
        <v>Budget Kinder nach Abzug der Fixkosten und Abbuchungen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59" t="s">
        <v>98</v>
      </c>
      <c r="L110" s="259"/>
      <c r="M110" s="277">
        <f>M104+M109</f>
        <v>960.55024202484401</v>
      </c>
      <c r="N110" s="278"/>
      <c r="O110" s="124"/>
      <c r="P110" s="124"/>
      <c r="Q110" s="39"/>
      <c r="R110" s="124"/>
      <c r="S110" s="2"/>
      <c r="T110" s="124"/>
      <c r="U110" s="124"/>
      <c r="V110" s="124"/>
    </row>
    <row r="111" spans="1:22" s="124" customFormat="1" ht="14.45" customHeight="1" thickTop="1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6"/>
      <c r="L111" s="196"/>
      <c r="M111" s="128"/>
      <c r="N111" s="128"/>
      <c r="Q111" s="39"/>
      <c r="S111" s="2"/>
    </row>
    <row r="112" spans="1:22" s="124" customFormat="1" ht="14.45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6"/>
      <c r="L112" s="196"/>
      <c r="M112" s="128"/>
      <c r="N112" s="128"/>
      <c r="Q112" s="39"/>
      <c r="S112" s="2"/>
    </row>
    <row r="113" spans="1:22" s="124" customFormat="1" ht="14.45" customHeight="1">
      <c r="I113" s="102"/>
      <c r="J113" s="126"/>
      <c r="M113" s="128"/>
      <c r="N113" s="128"/>
      <c r="Q113" s="39"/>
      <c r="S113" s="2"/>
    </row>
    <row r="114" spans="1:22" ht="12.75">
      <c r="A114" s="124"/>
      <c r="B114" s="45" t="str">
        <f>CONCATENATE("5. Verteilung Budget ",IF(COUNTA(F4:Q4)&gt;1,"Kinder","Kind")," auf beide Haushalte")</f>
        <v>5. Verteilung Budget Kinder auf beide Haushalte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</row>
    <row r="115" spans="1:22" ht="15.95" customHeight="1">
      <c r="A115" s="171"/>
      <c r="B115" s="124"/>
      <c r="C115" s="124"/>
      <c r="D115" s="124"/>
      <c r="E115" s="124"/>
      <c r="F115" s="124"/>
      <c r="G115" s="124"/>
      <c r="H115" s="124"/>
      <c r="I115" s="124"/>
      <c r="J115" s="124"/>
      <c r="K115" s="251" t="str">
        <f>K94</f>
        <v>Elternteil A</v>
      </c>
      <c r="L115" s="308"/>
      <c r="M115" s="262" t="s">
        <v>92</v>
      </c>
      <c r="N115" s="263"/>
      <c r="O115" s="316" t="str">
        <f>O94</f>
        <v>Elternteil B</v>
      </c>
      <c r="P115" s="256"/>
      <c r="Q115" s="124"/>
      <c r="R115" s="124"/>
      <c r="S115" s="124"/>
      <c r="T115" s="124"/>
      <c r="U115" s="124"/>
      <c r="V115" s="124"/>
    </row>
    <row r="116" spans="1:22" ht="15.95" customHeight="1" thickBot="1">
      <c r="A116" s="124"/>
      <c r="B116" s="395" t="str">
        <f>CONCATENATE("Auflösung von Budget ",IF(COUNTA(F4:Q4)&gt;1,"Kinder","Kind"), " &amp;")</f>
        <v>Auflösung von Budget Kinder &amp;</v>
      </c>
      <c r="C116" s="395"/>
      <c r="D116" s="395"/>
      <c r="E116" s="395"/>
      <c r="F116" s="395"/>
      <c r="G116" s="395"/>
      <c r="H116" s="395"/>
      <c r="I116" s="395"/>
      <c r="J116" s="120" t="s">
        <v>99</v>
      </c>
      <c r="K116" s="130">
        <f>K95</f>
        <v>0.59342742170642093</v>
      </c>
      <c r="L116" s="131"/>
      <c r="M116" s="309">
        <f>M110</f>
        <v>960.55024202484401</v>
      </c>
      <c r="N116" s="310"/>
      <c r="O116" s="130">
        <f>O95</f>
        <v>0.40657257829357907</v>
      </c>
      <c r="P116" s="131"/>
      <c r="Q116" s="120"/>
      <c r="R116" s="124"/>
      <c r="S116" s="124"/>
      <c r="T116" s="124"/>
      <c r="U116" s="124"/>
      <c r="V116" s="124"/>
    </row>
    <row r="117" spans="1:22" ht="14.45" customHeight="1" thickBot="1">
      <c r="A117" s="239" t="s">
        <v>100</v>
      </c>
      <c r="B117" s="239"/>
      <c r="C117" s="239"/>
      <c r="D117" s="239"/>
      <c r="E117" s="239"/>
      <c r="F117" s="239"/>
      <c r="G117" s="239"/>
      <c r="H117" s="239"/>
      <c r="I117" s="239"/>
      <c r="J117" s="129" t="s">
        <v>101</v>
      </c>
      <c r="K117" s="311">
        <f>M110*K116</f>
        <v>570.01685354428184</v>
      </c>
      <c r="L117" s="311"/>
      <c r="M117" s="312"/>
      <c r="N117" s="312"/>
      <c r="O117" s="311">
        <f>O116*M110</f>
        <v>390.53338848056222</v>
      </c>
      <c r="P117" s="311"/>
      <c r="Q117" s="129"/>
      <c r="R117" s="124"/>
      <c r="S117" s="124"/>
      <c r="T117" s="124"/>
      <c r="U117" s="124"/>
      <c r="V117" s="124"/>
    </row>
    <row r="118" spans="1:22" ht="14.45" customHeight="1" thickTop="1">
      <c r="A118" s="173"/>
      <c r="B118" s="394"/>
      <c r="C118" s="394"/>
      <c r="D118" s="394"/>
      <c r="E118" s="394"/>
      <c r="F118" s="394"/>
      <c r="G118" s="394"/>
      <c r="H118" s="394"/>
      <c r="I118" s="394"/>
      <c r="J118" s="124"/>
      <c r="K118" s="124"/>
      <c r="L118" s="124"/>
      <c r="M118" s="124"/>
      <c r="N118" s="124"/>
      <c r="O118" s="124"/>
      <c r="P118" s="124"/>
      <c r="Q118" s="106"/>
      <c r="R118" s="106"/>
      <c r="S118" s="106"/>
      <c r="T118" s="173"/>
      <c r="U118" s="124"/>
      <c r="V118" s="124"/>
    </row>
    <row r="119" spans="1:22" s="124" customFormat="1" ht="14.45" customHeight="1">
      <c r="A119" s="173"/>
      <c r="B119" s="194"/>
      <c r="C119" s="194"/>
      <c r="D119" s="194"/>
      <c r="E119" s="194"/>
      <c r="F119" s="194"/>
      <c r="G119" s="194"/>
      <c r="H119" s="194"/>
      <c r="I119" s="194"/>
      <c r="Q119" s="106"/>
      <c r="R119" s="106"/>
      <c r="S119" s="106"/>
      <c r="T119" s="173"/>
    </row>
    <row r="120" spans="1:22" s="85" customFormat="1" ht="14.45" customHeight="1">
      <c r="A120" s="124"/>
      <c r="B120" s="124"/>
      <c r="C120" s="124"/>
      <c r="D120" s="2"/>
      <c r="E120" s="124"/>
      <c r="F120" s="25"/>
      <c r="G120" s="25"/>
      <c r="H120" s="124"/>
      <c r="I120" s="54"/>
      <c r="J120" s="124"/>
      <c r="K120" s="178"/>
      <c r="L120" s="178"/>
      <c r="M120" s="84"/>
      <c r="N120" s="38"/>
      <c r="O120" s="178"/>
      <c r="P120" s="178"/>
      <c r="Q120" s="39"/>
      <c r="R120" s="57"/>
      <c r="S120" s="2"/>
      <c r="T120" s="124"/>
      <c r="U120" s="124"/>
      <c r="V120" s="124"/>
    </row>
    <row r="121" spans="1:22" s="85" customFormat="1" ht="12.75">
      <c r="A121" s="124"/>
      <c r="B121" s="45" t="s">
        <v>102</v>
      </c>
      <c r="C121" s="124"/>
      <c r="D121" s="2"/>
      <c r="E121" s="124"/>
      <c r="F121" s="25"/>
      <c r="G121" s="25"/>
      <c r="H121" s="124"/>
      <c r="I121" s="54"/>
      <c r="J121" s="124"/>
      <c r="K121" s="178"/>
      <c r="L121" s="178"/>
      <c r="M121" s="84"/>
      <c r="N121" s="38"/>
      <c r="O121" s="178"/>
      <c r="P121" s="178"/>
      <c r="Q121" s="39"/>
      <c r="R121" s="57"/>
      <c r="S121" s="2"/>
      <c r="T121" s="124"/>
      <c r="U121" s="124"/>
      <c r="V121" s="124"/>
    </row>
    <row r="122" spans="1:22" s="85" customFormat="1" ht="12.75">
      <c r="A122" s="124"/>
      <c r="B122" s="124"/>
      <c r="C122" s="124"/>
      <c r="D122" s="2"/>
      <c r="E122" s="124"/>
      <c r="F122" s="25"/>
      <c r="G122" s="25"/>
      <c r="H122" s="124"/>
      <c r="I122" s="54"/>
      <c r="J122" s="124"/>
      <c r="K122" s="251" t="str">
        <f>K94</f>
        <v>Elternteil A</v>
      </c>
      <c r="L122" s="252"/>
      <c r="M122" s="124"/>
      <c r="N122" s="124"/>
      <c r="O122" s="255" t="str">
        <f>O115</f>
        <v>Elternteil B</v>
      </c>
      <c r="P122" s="256"/>
      <c r="Q122" s="39"/>
      <c r="R122" s="57"/>
      <c r="S122" s="2"/>
      <c r="T122" s="124"/>
      <c r="U122" s="253"/>
      <c r="V122" s="254"/>
    </row>
    <row r="123" spans="1:22" s="85" customFormat="1" ht="12.75">
      <c r="A123" s="124"/>
      <c r="B123" s="124"/>
      <c r="C123" s="124"/>
      <c r="D123" s="2"/>
      <c r="E123" s="124"/>
      <c r="F123" s="25"/>
      <c r="G123" s="25"/>
      <c r="H123" s="124"/>
      <c r="I123" s="103" t="s">
        <v>103</v>
      </c>
      <c r="J123" s="169" t="s">
        <v>104</v>
      </c>
      <c r="K123" s="381">
        <f>K98</f>
        <v>-274.02991776987227</v>
      </c>
      <c r="L123" s="382"/>
      <c r="M123" s="124"/>
      <c r="N123" s="124"/>
      <c r="O123" s="383">
        <f>O98</f>
        <v>-422.52032425497168</v>
      </c>
      <c r="P123" s="384"/>
      <c r="Q123" s="39"/>
      <c r="R123" s="57"/>
      <c r="S123" s="2"/>
      <c r="T123" s="124"/>
      <c r="U123" s="379"/>
      <c r="V123" s="379"/>
    </row>
    <row r="124" spans="1:22" s="85" customFormat="1" ht="12.75">
      <c r="A124" s="124"/>
      <c r="B124" s="124"/>
      <c r="C124" s="124"/>
      <c r="D124" s="2"/>
      <c r="E124" s="124"/>
      <c r="F124" s="25"/>
      <c r="G124" s="25"/>
      <c r="H124" s="124"/>
      <c r="I124" s="103" t="s">
        <v>105</v>
      </c>
      <c r="J124" s="169" t="s">
        <v>95</v>
      </c>
      <c r="K124" s="281">
        <f>K88*-1</f>
        <v>-384</v>
      </c>
      <c r="L124" s="282"/>
      <c r="M124" s="124"/>
      <c r="N124" s="124"/>
      <c r="O124" s="283">
        <f>O88*-1</f>
        <v>0</v>
      </c>
      <c r="P124" s="284"/>
      <c r="Q124" s="39"/>
      <c r="R124" s="57"/>
      <c r="S124" s="2"/>
      <c r="T124" s="124"/>
      <c r="U124" s="379"/>
      <c r="V124" s="379"/>
    </row>
    <row r="125" spans="1:22" s="85" customFormat="1" ht="12.75">
      <c r="A125" s="124"/>
      <c r="B125" s="124"/>
      <c r="C125" s="124"/>
      <c r="D125" s="2"/>
      <c r="E125" s="124"/>
      <c r="F125" s="25"/>
      <c r="G125" s="25"/>
      <c r="H125" s="124"/>
      <c r="I125" s="103" t="str">
        <f>CONCATENATE("Fixkosten / Abbuchungen für ",IF(COUNTA(F4:Q4)&gt;1,"Kinder","Kind")," pro Monat")</f>
        <v>Fixkosten / Abbuchungen für Kinder pro Monat</v>
      </c>
      <c r="J125" s="169" t="s">
        <v>97</v>
      </c>
      <c r="K125" s="281">
        <f>K90*-1</f>
        <v>120</v>
      </c>
      <c r="L125" s="282"/>
      <c r="M125" s="124"/>
      <c r="N125" s="124"/>
      <c r="O125" s="283">
        <f>O90*-1</f>
        <v>0</v>
      </c>
      <c r="P125" s="284"/>
      <c r="Q125" s="39"/>
      <c r="R125" s="57"/>
      <c r="S125" s="2"/>
      <c r="T125" s="124"/>
      <c r="U125" s="379"/>
      <c r="V125" s="379"/>
    </row>
    <row r="126" spans="1:22" s="85" customFormat="1" ht="13.5" thickBot="1">
      <c r="A126" s="174"/>
      <c r="B126" s="174"/>
      <c r="C126" s="174"/>
      <c r="D126" s="174"/>
      <c r="E126" s="174"/>
      <c r="F126" s="174"/>
      <c r="G126" s="174"/>
      <c r="H126" s="174"/>
      <c r="I126" s="132" t="str">
        <f>CONCATENATE("Anteil aus Budget ",IF(COUNTA(F4:Q4)&gt;1,"Kinder","Kind"))</f>
        <v>Anteil aus Budget Kinder</v>
      </c>
      <c r="J126" s="169" t="s">
        <v>106</v>
      </c>
      <c r="K126" s="275">
        <f>K117</f>
        <v>570.01685354428184</v>
      </c>
      <c r="L126" s="276"/>
      <c r="M126" s="124"/>
      <c r="N126" s="124"/>
      <c r="O126" s="275">
        <f>O117</f>
        <v>390.53338848056222</v>
      </c>
      <c r="P126" s="276"/>
      <c r="Q126" s="169"/>
      <c r="R126" s="57"/>
      <c r="S126" s="2"/>
      <c r="T126" s="124"/>
      <c r="U126" s="236"/>
      <c r="V126" s="237"/>
    </row>
    <row r="127" spans="1:22" s="85" customFormat="1" ht="14.25" thickTop="1" thickBot="1">
      <c r="A127" s="124"/>
      <c r="B127" s="124"/>
      <c r="C127" s="124"/>
      <c r="D127" s="2"/>
      <c r="E127" s="124"/>
      <c r="F127" s="25"/>
      <c r="G127" s="25"/>
      <c r="H127" s="124"/>
      <c r="I127" s="117" t="s">
        <v>107</v>
      </c>
      <c r="J127" s="169" t="s">
        <v>108</v>
      </c>
      <c r="K127" s="391">
        <f>SUM(K123:L126)</f>
        <v>31.986935774409517</v>
      </c>
      <c r="L127" s="391"/>
      <c r="M127" s="392"/>
      <c r="N127" s="393"/>
      <c r="O127" s="391">
        <f>SUM(O123:P126)</f>
        <v>-31.98693577440946</v>
      </c>
      <c r="P127" s="391"/>
      <c r="Q127" s="39"/>
      <c r="R127" s="57"/>
      <c r="S127" s="2"/>
      <c r="T127" s="124"/>
      <c r="U127" s="124"/>
      <c r="V127" s="124"/>
    </row>
    <row r="128" spans="1:22" s="85" customFormat="1" ht="13.5" thickTop="1">
      <c r="A128" s="124"/>
      <c r="B128" s="124"/>
      <c r="C128" s="124"/>
      <c r="D128" s="2"/>
      <c r="E128" s="124"/>
      <c r="F128" s="25"/>
      <c r="G128" s="25"/>
      <c r="H128" s="124"/>
      <c r="I128" s="89" t="s">
        <v>109</v>
      </c>
      <c r="J128" s="124"/>
      <c r="K128" s="178"/>
      <c r="L128" s="178"/>
      <c r="M128" s="280"/>
      <c r="N128" s="280"/>
      <c r="O128" s="178"/>
      <c r="P128" s="178"/>
      <c r="Q128" s="39"/>
      <c r="R128" s="57"/>
      <c r="S128" s="2"/>
      <c r="T128" s="124"/>
      <c r="U128" s="124"/>
      <c r="V128" s="124"/>
    </row>
    <row r="129" spans="1:22" s="85" customFormat="1" ht="14.45" customHeight="1">
      <c r="A129" s="124"/>
      <c r="B129" s="124"/>
      <c r="C129" s="124"/>
      <c r="D129" s="2"/>
      <c r="E129" s="124"/>
      <c r="F129" s="25"/>
      <c r="G129" s="25"/>
      <c r="H129" s="124"/>
      <c r="I129" s="54"/>
      <c r="J129" s="124"/>
      <c r="K129" s="178"/>
      <c r="L129" s="178"/>
      <c r="M129" s="84"/>
      <c r="N129" s="38"/>
      <c r="O129" s="178"/>
      <c r="P129" s="178"/>
      <c r="Q129" s="39"/>
      <c r="R129" s="57"/>
      <c r="S129" s="2"/>
      <c r="T129" s="124"/>
      <c r="U129" s="124"/>
      <c r="V129" s="124"/>
    </row>
    <row r="130" spans="1:22" ht="14.45" customHeight="1">
      <c r="A130" s="173"/>
      <c r="B130" s="173"/>
      <c r="C130" s="173"/>
      <c r="D130" s="173"/>
      <c r="E130" s="173"/>
      <c r="F130" s="173"/>
      <c r="G130" s="173"/>
      <c r="H130" s="173"/>
      <c r="I130" s="3"/>
      <c r="J130" s="3"/>
      <c r="K130" s="3"/>
      <c r="L130" s="58"/>
      <c r="M130" s="173"/>
      <c r="N130" s="173"/>
      <c r="O130" s="3"/>
      <c r="P130" s="3"/>
      <c r="Q130" s="3"/>
      <c r="R130" s="173"/>
      <c r="S130" s="173"/>
      <c r="T130" s="173"/>
      <c r="U130" s="124"/>
      <c r="V130" s="124"/>
    </row>
    <row r="131" spans="1:22" ht="12.75">
      <c r="A131" s="124"/>
      <c r="B131" s="45" t="s">
        <v>110</v>
      </c>
      <c r="C131" s="173"/>
      <c r="D131" s="47"/>
      <c r="E131" s="173"/>
      <c r="F131" s="58"/>
      <c r="G131" s="58"/>
      <c r="H131" s="173"/>
      <c r="I131" s="59"/>
      <c r="J131" s="173"/>
      <c r="K131" s="84"/>
      <c r="L131" s="84"/>
      <c r="M131" s="84"/>
      <c r="N131" s="38"/>
      <c r="O131" s="173"/>
      <c r="P131" s="38"/>
      <c r="Q131" s="39"/>
      <c r="R131" s="60"/>
      <c r="S131" s="47"/>
      <c r="T131" s="173"/>
      <c r="U131" s="124"/>
      <c r="V131" s="124"/>
    </row>
    <row r="132" spans="1:22" ht="6" customHeight="1">
      <c r="A132" s="124"/>
      <c r="B132" s="124"/>
      <c r="C132" s="124"/>
      <c r="D132" s="2"/>
      <c r="E132" s="124"/>
      <c r="F132" s="25"/>
      <c r="G132" s="25"/>
      <c r="H132" s="124"/>
      <c r="I132" s="54"/>
      <c r="J132" s="124"/>
      <c r="K132" s="170"/>
      <c r="L132" s="170"/>
      <c r="M132" s="84"/>
      <c r="N132" s="38"/>
      <c r="O132" s="124"/>
      <c r="P132" s="38"/>
      <c r="Q132" s="39"/>
      <c r="R132" s="124"/>
      <c r="S132" s="2"/>
      <c r="T132" s="124"/>
      <c r="U132" s="124"/>
      <c r="V132" s="124"/>
    </row>
    <row r="133" spans="1:22" ht="12.75">
      <c r="A133" s="124"/>
      <c r="B133" s="124"/>
      <c r="C133" s="124"/>
      <c r="D133" s="2"/>
      <c r="E133" s="124"/>
      <c r="F133" s="25"/>
      <c r="G133" s="25"/>
      <c r="H133" s="124"/>
      <c r="I133" s="54"/>
      <c r="J133" s="124"/>
      <c r="K133" s="251" t="str">
        <f>K53</f>
        <v>Elternteil A</v>
      </c>
      <c r="L133" s="252"/>
      <c r="M133" s="171"/>
      <c r="N133" s="38"/>
      <c r="O133" s="255" t="str">
        <f>K54</f>
        <v>Elternteil B</v>
      </c>
      <c r="P133" s="256"/>
      <c r="Q133" s="39"/>
      <c r="R133" s="124"/>
      <c r="S133" s="2"/>
      <c r="T133" s="124"/>
      <c r="U133" s="124"/>
      <c r="V133" s="124"/>
    </row>
    <row r="134" spans="1:22" ht="12.75">
      <c r="A134" s="124"/>
      <c r="B134" s="124"/>
      <c r="C134" s="124"/>
      <c r="D134" s="124"/>
      <c r="E134" s="124"/>
      <c r="F134" s="124"/>
      <c r="G134" s="124"/>
      <c r="H134" s="124"/>
      <c r="I134" s="6" t="str">
        <f>I78</f>
        <v>angenommenes Vollzeit Einkommen Netto</v>
      </c>
      <c r="J134" s="169" t="s">
        <v>111</v>
      </c>
      <c r="K134" s="268">
        <f>IF(K95&gt;50%,0,K78)</f>
        <v>0</v>
      </c>
      <c r="L134" s="268"/>
      <c r="M134" s="269"/>
      <c r="N134" s="270"/>
      <c r="O134" s="268">
        <f>IF(O95&gt;50%,0,O78)</f>
        <v>2500</v>
      </c>
      <c r="P134" s="268"/>
      <c r="Q134" s="39"/>
      <c r="R134" s="57"/>
      <c r="S134" s="2"/>
      <c r="T134" s="124"/>
      <c r="U134" s="124"/>
      <c r="V134" s="124"/>
    </row>
    <row r="135" spans="1:22" ht="12.75">
      <c r="A135" s="124"/>
      <c r="B135" s="124"/>
      <c r="C135" s="124"/>
      <c r="D135" s="124"/>
      <c r="E135" s="124"/>
      <c r="F135" s="124"/>
      <c r="G135" s="124"/>
      <c r="H135" s="124"/>
      <c r="I135" s="6" t="str">
        <f>I96</f>
        <v>Unterhaltsquote (reziprok zur Betreuungsquote)</v>
      </c>
      <c r="J135" s="169"/>
      <c r="K135" s="265" t="str">
        <f>IF(K95&gt;50%,"",K96)</f>
        <v/>
      </c>
      <c r="L135" s="265"/>
      <c r="M135" s="266"/>
      <c r="N135" s="267"/>
      <c r="O135" s="265">
        <f>IF(O95&gt;50%,"",O96)</f>
        <v>0.59342742170642093</v>
      </c>
      <c r="P135" s="265"/>
      <c r="Q135" s="39"/>
      <c r="R135" s="57"/>
      <c r="S135" s="2"/>
      <c r="T135" s="124"/>
      <c r="U135" s="124"/>
      <c r="V135" s="124"/>
    </row>
    <row r="136" spans="1:22" ht="12.75">
      <c r="A136" s="124"/>
      <c r="B136" s="124"/>
      <c r="C136" s="124"/>
      <c r="D136" s="124"/>
      <c r="E136" s="124"/>
      <c r="F136" s="124"/>
      <c r="G136" s="124"/>
      <c r="H136" s="124"/>
      <c r="I136" s="6" t="s">
        <v>112</v>
      </c>
      <c r="J136" s="169" t="s">
        <v>113</v>
      </c>
      <c r="K136" s="268">
        <f>IF(K95&gt;50%,0,K134*K135)</f>
        <v>0</v>
      </c>
      <c r="L136" s="268"/>
      <c r="M136" s="269"/>
      <c r="N136" s="270"/>
      <c r="O136" s="268">
        <f>IF(O95&gt;50%,0,O134*O135)</f>
        <v>1483.5685542660524</v>
      </c>
      <c r="P136" s="268"/>
      <c r="Q136" s="39"/>
      <c r="R136" s="57"/>
      <c r="S136" s="2"/>
      <c r="T136" s="124"/>
      <c r="U136" s="124"/>
      <c r="V136" s="124"/>
    </row>
    <row r="137" spans="1:22" ht="12.75">
      <c r="A137" s="124"/>
      <c r="B137" s="124"/>
      <c r="C137" s="124"/>
      <c r="D137" s="124"/>
      <c r="E137" s="124"/>
      <c r="F137" s="124"/>
      <c r="G137" s="124"/>
      <c r="H137" s="124"/>
      <c r="I137" s="6"/>
      <c r="J137" s="169"/>
      <c r="K137" s="296"/>
      <c r="L137" s="296"/>
      <c r="M137" s="297"/>
      <c r="N137" s="297"/>
      <c r="O137" s="296"/>
      <c r="P137" s="296"/>
      <c r="Q137" s="39"/>
      <c r="R137" s="57"/>
      <c r="S137" s="2"/>
      <c r="T137" s="124"/>
      <c r="U137" s="124"/>
      <c r="V137" s="124"/>
    </row>
    <row r="138" spans="1:22" ht="12.75">
      <c r="A138" s="124"/>
      <c r="B138" s="124"/>
      <c r="C138" s="124"/>
      <c r="D138" s="124"/>
      <c r="E138" s="124"/>
      <c r="F138" s="124"/>
      <c r="G138" s="124"/>
      <c r="H138" s="124"/>
      <c r="I138" s="6" t="str">
        <f>I95</f>
        <v>Betreuungsquote</v>
      </c>
      <c r="J138" s="169"/>
      <c r="K138" s="265" t="str">
        <f>IF(K95&gt;50%,"",K95)</f>
        <v/>
      </c>
      <c r="L138" s="265"/>
      <c r="M138" s="298"/>
      <c r="N138" s="299"/>
      <c r="O138" s="265">
        <f>IF(O95&gt;50%,"",O95)</f>
        <v>0.40657257829357907</v>
      </c>
      <c r="P138" s="265"/>
      <c r="Q138" s="39"/>
      <c r="R138" s="57"/>
      <c r="S138" s="2"/>
      <c r="T138" s="124"/>
      <c r="U138" s="124"/>
      <c r="V138" s="124"/>
    </row>
    <row r="139" spans="1:22" ht="15.75">
      <c r="A139" s="124"/>
      <c r="B139" s="36"/>
      <c r="C139" s="124"/>
      <c r="D139" s="124"/>
      <c r="E139" s="124"/>
      <c r="F139" s="124"/>
      <c r="G139" s="124"/>
      <c r="H139" s="124"/>
      <c r="I139" s="6" t="s">
        <v>114</v>
      </c>
      <c r="J139" s="169" t="s">
        <v>115</v>
      </c>
      <c r="K139" s="291" t="str">
        <f>IF(K95&gt;50%,"",K95-0.5)</f>
        <v/>
      </c>
      <c r="L139" s="291"/>
      <c r="M139" s="292"/>
      <c r="N139" s="293"/>
      <c r="O139" s="291">
        <f>IF(O95&gt;50%,"",O95-0.5)</f>
        <v>-9.3427421706420932E-2</v>
      </c>
      <c r="P139" s="291"/>
      <c r="Q139" s="74"/>
      <c r="R139" s="74"/>
      <c r="S139" s="2"/>
      <c r="T139" s="170"/>
    </row>
    <row r="140" spans="1:22" ht="12.75">
      <c r="A140" s="245" t="s">
        <v>116</v>
      </c>
      <c r="B140" s="245"/>
      <c r="C140" s="245"/>
      <c r="D140" s="245"/>
      <c r="E140" s="245"/>
      <c r="F140" s="245"/>
      <c r="G140" s="245"/>
      <c r="H140" s="245"/>
      <c r="I140" s="245"/>
      <c r="J140" s="121" t="s">
        <v>117</v>
      </c>
      <c r="K140" s="300">
        <f>IF(K139&gt;O139,0,K136*K139)</f>
        <v>0</v>
      </c>
      <c r="L140" s="301"/>
      <c r="M140" s="249" t="s">
        <v>118</v>
      </c>
      <c r="N140" s="250"/>
      <c r="O140" s="300">
        <f>IF(K139&gt;O139,O136*O139,0)</f>
        <v>-138.6059849497997</v>
      </c>
      <c r="P140" s="301"/>
      <c r="Q140" s="74"/>
      <c r="R140" s="74"/>
      <c r="S140" s="2"/>
      <c r="T140" s="170"/>
    </row>
    <row r="141" spans="1:22" s="124" customFormat="1" ht="12.75">
      <c r="A141" s="175"/>
      <c r="H141" s="175"/>
      <c r="I141" s="175"/>
      <c r="J141" s="121"/>
      <c r="K141" s="303"/>
      <c r="L141" s="303"/>
      <c r="M141" s="49"/>
      <c r="N141" s="49"/>
      <c r="O141" s="146"/>
      <c r="P141" s="146"/>
      <c r="Q141" s="74"/>
      <c r="R141" s="74"/>
      <c r="S141" s="2"/>
      <c r="T141" s="170"/>
    </row>
    <row r="142" spans="1:22" s="124" customFormat="1" ht="12.75">
      <c r="A142" s="175"/>
      <c r="B142" s="245" t="s">
        <v>119</v>
      </c>
      <c r="C142" s="245"/>
      <c r="D142" s="245"/>
      <c r="E142" s="245"/>
      <c r="F142" s="245"/>
      <c r="G142" s="246"/>
      <c r="H142" s="152">
        <f>MIN(F4:Q4)</f>
        <v>7</v>
      </c>
      <c r="I142" s="175"/>
      <c r="J142" s="121"/>
      <c r="K142" s="302"/>
      <c r="L142" s="302"/>
      <c r="M142" s="49"/>
      <c r="N142" s="49"/>
      <c r="O142" s="302"/>
      <c r="P142" s="302"/>
      <c r="Q142" s="74"/>
      <c r="R142" s="74"/>
      <c r="S142" s="2"/>
      <c r="T142" s="170"/>
    </row>
    <row r="143" spans="1:22" s="124" customFormat="1" ht="12.75">
      <c r="A143" s="247" t="str">
        <f>IF(H142&gt;17,"Kind ist volljährig","Abzug von Betrag Mehrbetreuung:")</f>
        <v>Abzug von Betrag Mehrbetreuung:</v>
      </c>
      <c r="B143" s="247"/>
      <c r="C143" s="247"/>
      <c r="D143" s="247"/>
      <c r="E143" s="247"/>
      <c r="F143" s="247"/>
      <c r="G143" s="248"/>
      <c r="H143" s="243">
        <f>IF(H142&gt;17,"100%",H142/18)</f>
        <v>0.3888888888888889</v>
      </c>
      <c r="I143" s="244"/>
      <c r="J143" s="148" t="s">
        <v>120</v>
      </c>
      <c r="K143" s="294">
        <f>IF(K95&gt;50%,0,(H143*K140))</f>
        <v>0</v>
      </c>
      <c r="L143" s="295"/>
      <c r="M143" s="249" t="s">
        <v>121</v>
      </c>
      <c r="N143" s="250"/>
      <c r="O143" s="317">
        <f>IF(O95&gt;50%,0,H143*O140)</f>
        <v>-53.902327480477666</v>
      </c>
      <c r="P143" s="318"/>
      <c r="Q143" s="74"/>
      <c r="R143" s="164"/>
      <c r="S143" s="2"/>
      <c r="T143" s="170"/>
    </row>
    <row r="144" spans="1:22" s="124" customFormat="1" ht="12.75">
      <c r="A144" s="176"/>
      <c r="B144" s="329" t="s">
        <v>122</v>
      </c>
      <c r="C144" s="329"/>
      <c r="D144" s="329"/>
      <c r="E144" s="329"/>
      <c r="F144" s="329"/>
      <c r="G144" s="329"/>
      <c r="H144" s="160"/>
      <c r="I144" s="160"/>
      <c r="J144" s="148"/>
      <c r="K144" s="162"/>
      <c r="L144" s="162"/>
      <c r="M144" s="161"/>
      <c r="N144" s="161"/>
      <c r="O144" s="162"/>
      <c r="P144" s="162"/>
      <c r="Q144" s="74"/>
      <c r="R144" s="147"/>
      <c r="S144" s="2"/>
      <c r="T144" s="170"/>
    </row>
    <row r="145" spans="1:20" s="124" customFormat="1" ht="13.5" thickBot="1">
      <c r="A145" s="175"/>
      <c r="B145" s="245" t="s">
        <v>123</v>
      </c>
      <c r="C145" s="245"/>
      <c r="D145" s="245"/>
      <c r="E145" s="245"/>
      <c r="F145" s="245"/>
      <c r="G145" s="245"/>
      <c r="H145" s="245"/>
      <c r="I145" s="245"/>
      <c r="J145" s="148"/>
      <c r="K145" s="317">
        <f>K140-K143</f>
        <v>0</v>
      </c>
      <c r="L145" s="318"/>
      <c r="M145" s="249" t="s">
        <v>124</v>
      </c>
      <c r="N145" s="250"/>
      <c r="O145" s="332">
        <f>O140-O143</f>
        <v>-84.703657469322039</v>
      </c>
      <c r="P145" s="333"/>
      <c r="Q145" s="74"/>
      <c r="R145" s="74"/>
      <c r="S145" s="2"/>
      <c r="T145" s="170"/>
    </row>
    <row r="146" spans="1:20" ht="13.5" thickBot="1">
      <c r="A146" s="124"/>
      <c r="B146" s="124"/>
      <c r="C146" s="124"/>
      <c r="D146" s="124"/>
      <c r="E146" s="124"/>
      <c r="F146" s="124"/>
      <c r="G146" s="124"/>
      <c r="H146" s="124"/>
      <c r="I146" s="42" t="s">
        <v>125</v>
      </c>
      <c r="J146" s="169" t="s">
        <v>126</v>
      </c>
      <c r="K146" s="326">
        <f>IF(K95&gt;50%,(O145*-1)/2,K145/2)</f>
        <v>42.351828734661019</v>
      </c>
      <c r="L146" s="326"/>
      <c r="M146" s="327"/>
      <c r="N146" s="328"/>
      <c r="O146" s="326">
        <f>IF(O95&gt;50%,(K145*-1)/2,O145/2)</f>
        <v>-42.351828734661019</v>
      </c>
      <c r="P146" s="326"/>
      <c r="Q146" s="124"/>
      <c r="R146" s="124"/>
      <c r="S146" s="124"/>
      <c r="T146" s="124"/>
    </row>
    <row r="147" spans="1:20" ht="14.45" customHeight="1" thickTop="1">
      <c r="A147" s="173"/>
      <c r="C147" s="124"/>
      <c r="D147" s="124"/>
      <c r="E147" s="124"/>
      <c r="F147" s="124"/>
      <c r="G147" s="124"/>
      <c r="H147" s="173"/>
      <c r="I147" s="89" t="s">
        <v>127</v>
      </c>
      <c r="J147" s="3"/>
      <c r="K147" s="3"/>
      <c r="L147" s="58"/>
      <c r="M147" s="173"/>
      <c r="N147" s="173"/>
      <c r="O147" s="3"/>
      <c r="P147" s="3"/>
      <c r="Q147" s="3"/>
      <c r="R147" s="173"/>
      <c r="S147" s="173"/>
      <c r="T147" s="173"/>
    </row>
    <row r="148" spans="1:20" s="124" customFormat="1" ht="14.45" customHeight="1">
      <c r="A148" s="173"/>
      <c r="H148" s="173"/>
      <c r="I148" s="89"/>
      <c r="J148" s="3"/>
      <c r="K148" s="3"/>
      <c r="L148" s="58"/>
      <c r="M148" s="173"/>
      <c r="N148" s="173"/>
      <c r="O148" s="3"/>
      <c r="P148" s="3"/>
      <c r="Q148" s="3"/>
      <c r="R148" s="173"/>
      <c r="S148" s="173"/>
      <c r="T148" s="173"/>
    </row>
    <row r="149" spans="1:20" ht="14.45" customHeight="1">
      <c r="A149" s="124"/>
      <c r="C149" s="173"/>
      <c r="D149" s="173"/>
      <c r="E149" s="173"/>
      <c r="T149" s="173"/>
    </row>
    <row r="150" spans="1:20" ht="12.75">
      <c r="A150" s="124"/>
      <c r="B150" s="45" t="s">
        <v>128</v>
      </c>
      <c r="C150" s="124"/>
      <c r="D150" s="124"/>
      <c r="E150" s="124"/>
      <c r="T150" s="124"/>
    </row>
    <row r="151" spans="1:20" s="124" customFormat="1" ht="12.75">
      <c r="B151" s="45"/>
    </row>
    <row r="152" spans="1:20" ht="12.75">
      <c r="B152" s="232" t="s">
        <v>131</v>
      </c>
      <c r="C152" s="232"/>
      <c r="D152" s="232"/>
      <c r="E152" s="232"/>
      <c r="F152" s="232"/>
      <c r="G152" s="232"/>
      <c r="H152" s="232"/>
      <c r="I152" s="232"/>
      <c r="J152" s="232"/>
      <c r="K152" s="124"/>
      <c r="L152" s="124"/>
      <c r="M152" s="173"/>
      <c r="N152" s="173"/>
      <c r="O152" s="124"/>
      <c r="P152" s="124"/>
      <c r="Q152" s="124"/>
      <c r="R152" s="124"/>
      <c r="S152" s="124"/>
    </row>
    <row r="153" spans="1:20" ht="12.75">
      <c r="A153" s="62"/>
      <c r="B153" s="124"/>
      <c r="C153" s="124"/>
      <c r="D153" s="124"/>
      <c r="E153" s="124"/>
      <c r="F153" s="124"/>
      <c r="G153" s="124"/>
      <c r="H153" s="124"/>
      <c r="I153" s="6"/>
      <c r="J153" s="6"/>
      <c r="K153" s="251" t="str">
        <f>K133</f>
        <v>Elternteil A</v>
      </c>
      <c r="L153" s="252"/>
      <c r="M153" s="355"/>
      <c r="N153" s="356"/>
      <c r="O153" s="255" t="str">
        <f>O133</f>
        <v>Elternteil B</v>
      </c>
      <c r="P153" s="256"/>
      <c r="Q153" s="124"/>
      <c r="R153" s="124"/>
      <c r="S153" s="124"/>
    </row>
    <row r="154" spans="1:20" ht="12.75">
      <c r="A154" s="124"/>
      <c r="B154" s="124"/>
      <c r="C154" s="124"/>
      <c r="D154" s="124"/>
      <c r="E154" s="124"/>
      <c r="F154" s="124"/>
      <c r="G154" s="124"/>
      <c r="H154" s="124"/>
      <c r="I154" s="118" t="s">
        <v>107</v>
      </c>
      <c r="J154" s="121" t="s">
        <v>132</v>
      </c>
      <c r="K154" s="338">
        <f>K127</f>
        <v>31.986935774409517</v>
      </c>
      <c r="L154" s="339"/>
      <c r="M154" s="340"/>
      <c r="N154" s="341"/>
      <c r="O154" s="342">
        <f>O127</f>
        <v>-31.98693577440946</v>
      </c>
      <c r="P154" s="343"/>
      <c r="Q154" s="56"/>
      <c r="R154" s="124"/>
      <c r="S154" s="124"/>
    </row>
    <row r="155" spans="1:20" s="85" customFormat="1" ht="12.75">
      <c r="A155" s="124"/>
      <c r="B155" s="124"/>
      <c r="C155" s="124"/>
      <c r="D155" s="124"/>
      <c r="E155" s="124"/>
      <c r="F155" s="124"/>
      <c r="G155" s="124"/>
      <c r="H155" s="124"/>
      <c r="I155" s="89" t="s">
        <v>133</v>
      </c>
      <c r="J155" s="169"/>
      <c r="K155" s="181"/>
      <c r="L155" s="182"/>
      <c r="M155" s="183"/>
      <c r="N155" s="183"/>
      <c r="O155" s="181"/>
      <c r="P155" s="182"/>
      <c r="Q155" s="56"/>
      <c r="R155" s="124"/>
      <c r="S155" s="124"/>
    </row>
    <row r="156" spans="1:20" s="85" customFormat="1" ht="12.75">
      <c r="A156" s="124"/>
      <c r="B156" s="124"/>
      <c r="C156" s="124"/>
      <c r="D156" s="124"/>
      <c r="E156" s="124"/>
      <c r="F156" s="124"/>
      <c r="G156" s="124"/>
      <c r="H156" s="124"/>
      <c r="I156" s="63" t="s">
        <v>125</v>
      </c>
      <c r="J156" s="121" t="s">
        <v>134</v>
      </c>
      <c r="K156" s="348">
        <f>K146</f>
        <v>42.351828734661019</v>
      </c>
      <c r="L156" s="349"/>
      <c r="M156" s="350"/>
      <c r="N156" s="350"/>
      <c r="O156" s="348">
        <f>O146</f>
        <v>-42.351828734661019</v>
      </c>
      <c r="P156" s="349"/>
      <c r="Q156" s="124"/>
      <c r="R156" s="124"/>
      <c r="S156" s="124"/>
    </row>
    <row r="157" spans="1:20" ht="12.75">
      <c r="A157" s="124"/>
      <c r="B157" s="124"/>
      <c r="C157" s="124"/>
      <c r="D157" s="124"/>
      <c r="E157" s="124"/>
      <c r="F157" s="124"/>
      <c r="G157" s="124"/>
      <c r="H157" s="124"/>
      <c r="I157" s="63"/>
      <c r="J157" s="169"/>
      <c r="K157" s="351"/>
      <c r="L157" s="352"/>
      <c r="M157" s="340"/>
      <c r="N157" s="341"/>
      <c r="O157" s="351"/>
      <c r="P157" s="352"/>
      <c r="Q157" s="124"/>
      <c r="R157" s="124"/>
      <c r="S157" s="124"/>
    </row>
    <row r="158" spans="1:20" ht="13.5" thickBot="1">
      <c r="A158" s="124"/>
      <c r="B158" s="124"/>
      <c r="C158" s="124"/>
      <c r="D158" s="124"/>
      <c r="E158" s="124"/>
      <c r="F158" s="124"/>
      <c r="G158" s="124"/>
      <c r="H158" s="124"/>
      <c r="I158" s="52" t="s">
        <v>135</v>
      </c>
      <c r="J158" s="169" t="s">
        <v>136</v>
      </c>
      <c r="K158" s="344">
        <f>K154+K146</f>
        <v>74.338764509070529</v>
      </c>
      <c r="L158" s="345"/>
      <c r="M158" s="340"/>
      <c r="N158" s="341"/>
      <c r="O158" s="344">
        <f>O154+O146</f>
        <v>-74.338764509070472</v>
      </c>
      <c r="P158" s="345"/>
      <c r="Q158" s="124"/>
      <c r="R158" s="124"/>
      <c r="S158" s="124"/>
    </row>
    <row r="159" spans="1:20" ht="13.5" thickTop="1">
      <c r="A159" s="124"/>
      <c r="B159" s="329" t="s">
        <v>137</v>
      </c>
      <c r="C159" s="329"/>
      <c r="D159" s="329"/>
      <c r="E159" s="329"/>
      <c r="F159" s="329"/>
      <c r="G159" s="329"/>
      <c r="H159" s="329"/>
      <c r="I159" s="329"/>
      <c r="J159" s="7"/>
      <c r="K159" s="346"/>
      <c r="L159" s="346"/>
      <c r="M159" s="347"/>
      <c r="N159" s="347"/>
      <c r="O159" s="346"/>
      <c r="P159" s="346"/>
      <c r="Q159" s="124"/>
      <c r="R159" s="124"/>
      <c r="S159" s="124"/>
    </row>
    <row r="160" spans="1:20" ht="12.75">
      <c r="A160" s="124"/>
      <c r="B160" s="124"/>
      <c r="C160" s="124"/>
      <c r="D160" s="124"/>
      <c r="E160" s="124"/>
      <c r="F160" s="124"/>
      <c r="G160" s="124"/>
      <c r="H160" s="124"/>
      <c r="I160" s="7"/>
      <c r="J160" s="7"/>
      <c r="K160" s="179"/>
      <c r="L160" s="50"/>
      <c r="M160" s="180"/>
      <c r="N160" s="49"/>
      <c r="O160" s="179"/>
      <c r="P160" s="48"/>
      <c r="Q160" s="124"/>
      <c r="R160" s="124"/>
      <c r="S160" s="124"/>
    </row>
    <row r="161" spans="1:20" s="124" customFormat="1" ht="12.75">
      <c r="I161" s="7"/>
      <c r="J161" s="7"/>
      <c r="K161" s="179"/>
      <c r="L161" s="50"/>
      <c r="M161" s="180"/>
      <c r="N161" s="49"/>
      <c r="O161" s="179"/>
      <c r="P161" s="48"/>
    </row>
    <row r="162" spans="1:20" ht="12.75">
      <c r="B162" s="233" t="s">
        <v>138</v>
      </c>
      <c r="C162" s="233"/>
      <c r="D162" s="233"/>
      <c r="E162" s="233"/>
      <c r="F162" s="233"/>
      <c r="G162" s="233"/>
      <c r="H162" s="233"/>
      <c r="I162" s="233"/>
      <c r="J162" s="166"/>
      <c r="K162" s="346"/>
      <c r="L162" s="346"/>
      <c r="M162" s="347"/>
      <c r="N162" s="347"/>
      <c r="O162" s="346"/>
      <c r="P162" s="346"/>
      <c r="Q162" s="124"/>
      <c r="R162" s="124"/>
      <c r="S162" s="124"/>
    </row>
    <row r="163" spans="1:20" ht="12.75">
      <c r="A163" s="124"/>
      <c r="B163" s="124"/>
      <c r="C163" s="124"/>
      <c r="D163" s="124"/>
      <c r="E163" s="124"/>
      <c r="F163" s="124"/>
      <c r="G163" s="124"/>
      <c r="H163" s="124"/>
      <c r="I163" s="64"/>
      <c r="J163" s="6"/>
      <c r="K163" s="251" t="str">
        <f>K153</f>
        <v>Elternteil A</v>
      </c>
      <c r="L163" s="252"/>
      <c r="M163" s="355"/>
      <c r="N163" s="356"/>
      <c r="O163" s="255" t="str">
        <f>O153</f>
        <v>Elternteil B</v>
      </c>
      <c r="P163" s="256"/>
      <c r="Q163" s="124"/>
      <c r="R163" s="124"/>
      <c r="S163" s="124"/>
    </row>
    <row r="164" spans="1:20" s="124" customFormat="1" ht="12.75">
      <c r="I164" s="6" t="str">
        <f>I95</f>
        <v>Betreuungsquote</v>
      </c>
      <c r="J164" s="6"/>
      <c r="K164" s="357">
        <f>K95</f>
        <v>0.59342742170642093</v>
      </c>
      <c r="L164" s="357"/>
      <c r="M164" s="173"/>
      <c r="N164" s="173"/>
      <c r="O164" s="358">
        <f>O95</f>
        <v>0.40657257829357907</v>
      </c>
      <c r="P164" s="359"/>
    </row>
    <row r="165" spans="1:20" ht="12.75">
      <c r="A165" s="124"/>
      <c r="B165" s="124"/>
      <c r="C165" s="124"/>
      <c r="D165" s="124"/>
      <c r="E165" s="124"/>
      <c r="F165" s="124"/>
      <c r="G165" s="124"/>
      <c r="H165" s="124"/>
      <c r="I165" s="53" t="str">
        <f>I158</f>
        <v>Summe Ausgleich zwischen den Haushalten</v>
      </c>
      <c r="J165" s="169" t="s">
        <v>136</v>
      </c>
      <c r="K165" s="336">
        <f>K158</f>
        <v>74.338764509070529</v>
      </c>
      <c r="L165" s="337"/>
      <c r="M165" s="269"/>
      <c r="N165" s="270"/>
      <c r="O165" s="336">
        <f>O158</f>
        <v>-74.338764509070472</v>
      </c>
      <c r="P165" s="337"/>
      <c r="Q165" s="124"/>
      <c r="R165" s="124"/>
      <c r="S165" s="124"/>
    </row>
    <row r="166" spans="1:20" ht="12.75">
      <c r="A166" s="124"/>
      <c r="B166" s="124"/>
      <c r="C166" s="124"/>
      <c r="D166" s="124"/>
      <c r="E166" s="124"/>
      <c r="F166" s="124"/>
      <c r="G166" s="124"/>
      <c r="H166" s="124"/>
      <c r="I166" s="6" t="s">
        <v>139</v>
      </c>
      <c r="J166" s="169" t="s">
        <v>81</v>
      </c>
      <c r="K166" s="360">
        <f>K88</f>
        <v>384</v>
      </c>
      <c r="L166" s="361"/>
      <c r="M166" s="269"/>
      <c r="N166" s="270"/>
      <c r="O166" s="360">
        <f>O88</f>
        <v>0</v>
      </c>
      <c r="P166" s="361"/>
      <c r="Q166" s="124"/>
      <c r="R166" s="124"/>
      <c r="S166" s="124"/>
    </row>
    <row r="167" spans="1:20" ht="12.75">
      <c r="A167" s="124"/>
      <c r="B167" s="124"/>
      <c r="C167" s="124"/>
      <c r="D167" s="124"/>
      <c r="E167" s="124"/>
      <c r="F167" s="124"/>
      <c r="G167" s="124"/>
      <c r="H167" s="124"/>
      <c r="I167" s="53" t="s">
        <v>140</v>
      </c>
      <c r="J167" s="169" t="s">
        <v>82</v>
      </c>
      <c r="K167" s="353">
        <f>K90</f>
        <v>-120</v>
      </c>
      <c r="L167" s="354"/>
      <c r="M167" s="269"/>
      <c r="N167" s="270"/>
      <c r="O167" s="353">
        <f>O90</f>
        <v>0</v>
      </c>
      <c r="P167" s="354"/>
      <c r="Q167" s="124"/>
      <c r="R167" s="124"/>
      <c r="S167" s="124"/>
    </row>
    <row r="168" spans="1:20" ht="13.5" thickBot="1">
      <c r="A168" s="124"/>
      <c r="B168" s="124"/>
      <c r="C168" s="124"/>
      <c r="D168" s="124"/>
      <c r="E168" s="124"/>
      <c r="F168" s="124"/>
      <c r="G168" s="124"/>
      <c r="H168" s="124"/>
      <c r="I168" s="64" t="s">
        <v>138</v>
      </c>
      <c r="J168" s="171"/>
      <c r="K168" s="334">
        <f>SUM(K165:K167)</f>
        <v>338.33876450907053</v>
      </c>
      <c r="L168" s="335"/>
      <c r="M168" s="269"/>
      <c r="N168" s="270"/>
      <c r="O168" s="334">
        <f>SUM(O165:O167)</f>
        <v>-74.338764509070472</v>
      </c>
      <c r="P168" s="335"/>
      <c r="Q168" s="124"/>
      <c r="R168" s="124"/>
      <c r="S168" s="124"/>
      <c r="T168" s="124"/>
    </row>
    <row r="169" spans="1:20" s="124" customFormat="1" ht="13.5" thickTop="1">
      <c r="I169" s="64"/>
      <c r="J169" s="171"/>
      <c r="K169" s="190"/>
      <c r="L169" s="190"/>
      <c r="M169" s="191"/>
      <c r="N169" s="191"/>
      <c r="O169" s="190"/>
      <c r="P169" s="190"/>
    </row>
    <row r="170" spans="1:20" s="124" customFormat="1" ht="12.75">
      <c r="I170" s="64"/>
      <c r="J170" s="171"/>
      <c r="K170" s="190"/>
      <c r="L170" s="190"/>
      <c r="M170" s="191"/>
      <c r="N170" s="191"/>
      <c r="O170" s="190"/>
      <c r="P170" s="190"/>
    </row>
    <row r="171" spans="1:20" s="124" customFormat="1" ht="12.75">
      <c r="I171" s="64"/>
      <c r="J171" s="171"/>
      <c r="K171" s="190"/>
      <c r="L171" s="190"/>
      <c r="M171" s="191"/>
      <c r="N171" s="191"/>
      <c r="O171" s="190"/>
      <c r="P171" s="190"/>
    </row>
    <row r="172" spans="1:20" s="124" customFormat="1" ht="12.75">
      <c r="I172" s="64"/>
      <c r="J172" s="171"/>
      <c r="K172" s="190"/>
      <c r="L172" s="190"/>
      <c r="M172" s="191"/>
      <c r="N172" s="191"/>
      <c r="O172" s="190"/>
      <c r="P172" s="190"/>
    </row>
    <row r="173" spans="1:20" s="124" customFormat="1" ht="12.75">
      <c r="I173" s="64"/>
      <c r="J173" s="171"/>
      <c r="K173" s="190"/>
      <c r="L173" s="190"/>
      <c r="M173" s="191"/>
      <c r="N173" s="191"/>
      <c r="O173" s="190"/>
      <c r="P173" s="190"/>
    </row>
    <row r="174" spans="1:20" s="124" customFormat="1" ht="12.75">
      <c r="I174" s="64"/>
      <c r="J174" s="171"/>
      <c r="K174" s="190"/>
      <c r="L174" s="190"/>
      <c r="M174" s="191"/>
      <c r="N174" s="191"/>
      <c r="O174" s="190"/>
      <c r="P174" s="190"/>
    </row>
    <row r="175" spans="1:20" s="124" customFormat="1" ht="12.75">
      <c r="I175" s="64"/>
      <c r="J175" s="171"/>
      <c r="K175" s="190"/>
      <c r="L175" s="190"/>
      <c r="M175" s="191"/>
      <c r="N175" s="191"/>
      <c r="O175" s="190"/>
      <c r="P175" s="190"/>
    </row>
    <row r="176" spans="1:20" s="124" customFormat="1" ht="12.75">
      <c r="I176" s="64"/>
      <c r="J176" s="171"/>
      <c r="K176" s="190"/>
      <c r="L176" s="190"/>
      <c r="M176" s="191"/>
      <c r="N176" s="191"/>
      <c r="O176" s="190"/>
      <c r="P176" s="190"/>
    </row>
    <row r="177" spans="2:16" s="124" customFormat="1" ht="12.75">
      <c r="I177" s="64"/>
      <c r="J177" s="171"/>
      <c r="K177" s="190"/>
      <c r="L177" s="190"/>
      <c r="M177" s="191"/>
      <c r="N177" s="191"/>
      <c r="O177" s="190"/>
      <c r="P177" s="190"/>
    </row>
    <row r="178" spans="2:16" s="124" customFormat="1" ht="12.75">
      <c r="I178" s="64"/>
      <c r="J178" s="171"/>
      <c r="K178" s="190"/>
      <c r="L178" s="190"/>
      <c r="M178" s="191"/>
      <c r="N178" s="191"/>
      <c r="O178" s="190"/>
      <c r="P178" s="190"/>
    </row>
    <row r="179" spans="2:16" s="124" customFormat="1" ht="12.75">
      <c r="I179" s="64"/>
      <c r="J179" s="171"/>
      <c r="K179" s="155"/>
      <c r="L179" s="155"/>
      <c r="M179" s="146"/>
      <c r="N179" s="146"/>
      <c r="O179" s="155"/>
      <c r="P179" s="155"/>
    </row>
    <row r="180" spans="2:16" s="124" customFormat="1" ht="12.75">
      <c r="I180" s="64"/>
      <c r="J180" s="171"/>
      <c r="K180" s="155"/>
      <c r="L180" s="155"/>
      <c r="M180" s="146"/>
      <c r="N180" s="146"/>
      <c r="O180" s="155"/>
      <c r="P180" s="155"/>
    </row>
    <row r="181" spans="2:16" s="124" customFormat="1" ht="12.75">
      <c r="L181" s="155"/>
      <c r="M181" s="146"/>
      <c r="N181" s="146"/>
      <c r="O181" s="155"/>
      <c r="P181" s="155"/>
    </row>
    <row r="182" spans="2:16" s="124" customFormat="1" ht="12.75">
      <c r="L182" s="155"/>
      <c r="M182" s="146"/>
      <c r="N182" s="146"/>
      <c r="O182" s="155"/>
      <c r="P182" s="155"/>
    </row>
    <row r="183" spans="2:16" s="124" customFormat="1" ht="12.75">
      <c r="L183" s="155"/>
      <c r="M183" s="146"/>
      <c r="N183" s="146"/>
      <c r="O183" s="155"/>
      <c r="P183" s="155"/>
    </row>
    <row r="184" spans="2:16" s="124" customFormat="1" ht="12.75">
      <c r="L184" s="155"/>
      <c r="M184" s="146"/>
      <c r="N184" s="146"/>
      <c r="O184" s="155"/>
      <c r="P184" s="155"/>
    </row>
    <row r="185" spans="2:16" s="124" customFormat="1" ht="12.75">
      <c r="L185" s="155"/>
      <c r="M185" s="146"/>
      <c r="N185" s="146"/>
      <c r="O185" s="155"/>
      <c r="P185" s="155"/>
    </row>
    <row r="186" spans="2:16" s="124" customFormat="1" ht="12.75">
      <c r="I186" s="64"/>
      <c r="J186" s="171"/>
      <c r="K186" s="155"/>
      <c r="L186" s="155"/>
      <c r="M186" s="146"/>
      <c r="N186" s="146"/>
      <c r="O186" s="155"/>
      <c r="P186" s="155"/>
    </row>
    <row r="187" spans="2:16" s="124" customFormat="1" ht="12.75">
      <c r="I187" s="64"/>
      <c r="J187" s="171"/>
      <c r="K187" s="155"/>
      <c r="L187" s="155"/>
      <c r="M187" s="146"/>
      <c r="N187" s="146"/>
      <c r="O187" s="155"/>
      <c r="P187" s="155"/>
    </row>
    <row r="188" spans="2:16" s="124" customFormat="1" ht="12.75">
      <c r="I188" s="64"/>
      <c r="J188" s="171"/>
      <c r="K188" s="155"/>
      <c r="L188" s="155"/>
      <c r="M188" s="146"/>
      <c r="N188" s="146"/>
      <c r="O188" s="155"/>
      <c r="P188" s="155"/>
    </row>
    <row r="189" spans="2:16" s="124" customFormat="1" ht="12.75">
      <c r="I189" s="64"/>
      <c r="J189" s="171"/>
      <c r="K189" s="155"/>
      <c r="L189" s="155"/>
      <c r="M189" s="146"/>
      <c r="N189" s="146"/>
      <c r="O189" s="155"/>
      <c r="P189" s="155"/>
    </row>
    <row r="190" spans="2:16" s="124" customFormat="1" ht="12.75">
      <c r="I190" s="64"/>
      <c r="J190" s="171"/>
      <c r="K190" s="155"/>
      <c r="L190" s="155"/>
      <c r="M190" s="146"/>
      <c r="N190" s="146"/>
      <c r="O190" s="155"/>
      <c r="P190" s="155"/>
    </row>
    <row r="191" spans="2:16" s="124" customFormat="1" ht="12.75">
      <c r="I191" s="64"/>
      <c r="J191" s="171"/>
      <c r="K191" s="155"/>
      <c r="L191" s="155"/>
      <c r="M191" s="146"/>
      <c r="N191" s="146"/>
      <c r="O191" s="155"/>
      <c r="P191" s="155"/>
    </row>
    <row r="192" spans="2:16" s="124" customFormat="1" ht="12.75">
      <c r="B192" s="45" t="s">
        <v>92</v>
      </c>
      <c r="C192" s="173"/>
      <c r="D192" s="173"/>
      <c r="E192" s="3"/>
      <c r="F192" s="3"/>
      <c r="G192" s="3"/>
      <c r="H192" s="58"/>
      <c r="I192" s="173"/>
      <c r="J192" s="173"/>
      <c r="K192" s="3"/>
      <c r="L192" s="3"/>
      <c r="M192" s="3"/>
      <c r="N192" s="173"/>
      <c r="O192" s="173"/>
      <c r="P192" s="155"/>
    </row>
    <row r="193" spans="1:17" s="124" customFormat="1" ht="12.75">
      <c r="E193" s="6"/>
      <c r="F193" s="57"/>
      <c r="G193" s="123"/>
      <c r="H193" s="123"/>
      <c r="I193" s="330" t="s">
        <v>92</v>
      </c>
      <c r="J193" s="331"/>
      <c r="P193" s="155"/>
    </row>
    <row r="194" spans="1:17" s="124" customFormat="1" ht="12.75">
      <c r="C194" s="109"/>
      <c r="D194" s="110"/>
      <c r="E194" s="111"/>
      <c r="F194" s="112"/>
      <c r="G194" s="112" t="s">
        <v>129</v>
      </c>
      <c r="H194" s="113"/>
      <c r="I194" s="319">
        <f>M102</f>
        <v>696.55024202484401</v>
      </c>
      <c r="J194" s="320"/>
      <c r="P194" s="155"/>
    </row>
    <row r="195" spans="1:17" s="124" customFormat="1" ht="12.75">
      <c r="C195" s="109"/>
      <c r="D195" s="110"/>
      <c r="E195" s="111"/>
      <c r="F195" s="112"/>
      <c r="G195" s="112" t="s">
        <v>212</v>
      </c>
      <c r="H195" s="113"/>
      <c r="I195" s="319">
        <f>M103</f>
        <v>384</v>
      </c>
      <c r="J195" s="320"/>
      <c r="M195" s="56"/>
      <c r="P195" s="155"/>
    </row>
    <row r="196" spans="1:17" s="124" customFormat="1" ht="13.5" thickBot="1">
      <c r="B196" s="173"/>
      <c r="C196" s="321" t="s">
        <v>130</v>
      </c>
      <c r="D196" s="322"/>
      <c r="E196" s="322"/>
      <c r="F196" s="322"/>
      <c r="G196" s="322"/>
      <c r="H196" s="114"/>
      <c r="I196" s="323">
        <f>SUM(I194:I195)</f>
        <v>1080.550242024844</v>
      </c>
      <c r="J196" s="324"/>
      <c r="P196" s="155"/>
    </row>
    <row r="197" spans="1:17" s="124" customFormat="1" ht="13.5" thickTop="1">
      <c r="B197" s="173"/>
      <c r="C197" s="173"/>
      <c r="D197" s="173"/>
      <c r="E197" s="51"/>
      <c r="F197" s="51"/>
      <c r="G197" s="51"/>
      <c r="H197" s="61"/>
      <c r="I197" s="325"/>
      <c r="J197" s="325"/>
      <c r="P197" s="155"/>
    </row>
    <row r="198" spans="1:17" s="124" customFormat="1" ht="12.75">
      <c r="B198" s="173"/>
      <c r="C198" s="173"/>
      <c r="D198" s="173"/>
      <c r="E198" s="51"/>
      <c r="F198" s="51"/>
      <c r="G198" s="51"/>
      <c r="H198" s="61"/>
      <c r="I198" s="197"/>
      <c r="J198" s="197"/>
      <c r="P198" s="155"/>
    </row>
    <row r="199" spans="1:17" ht="14.45" customHeight="1">
      <c r="A199" s="124"/>
      <c r="B199" s="124"/>
      <c r="C199" s="124"/>
      <c r="D199" s="124"/>
      <c r="E199" s="124"/>
      <c r="F199" s="124"/>
      <c r="G199" s="124"/>
      <c r="H199" s="124"/>
      <c r="I199" s="6"/>
      <c r="J199" s="6"/>
      <c r="K199" s="6"/>
      <c r="L199" s="6"/>
      <c r="M199" s="6"/>
      <c r="N199" s="124"/>
      <c r="O199" s="124"/>
      <c r="P199" s="124"/>
      <c r="Q199" s="124"/>
    </row>
    <row r="200" spans="1:17" ht="12.75">
      <c r="A200" s="124"/>
      <c r="B200" s="45" t="s">
        <v>209</v>
      </c>
      <c r="C200" s="124"/>
      <c r="D200" s="124"/>
      <c r="E200" s="124"/>
      <c r="F200" s="124"/>
      <c r="G200" s="124"/>
      <c r="H200" s="124"/>
      <c r="I200" s="6"/>
      <c r="J200" s="57"/>
      <c r="K200" s="123"/>
      <c r="L200" s="123"/>
      <c r="M200" s="123"/>
      <c r="N200" s="124"/>
      <c r="O200" s="124"/>
      <c r="P200" s="124"/>
      <c r="Q200" s="124"/>
    </row>
    <row r="201" spans="1:17" ht="12.75">
      <c r="A201" s="45"/>
      <c r="B201" s="124" t="s">
        <v>141</v>
      </c>
      <c r="C201" s="124"/>
      <c r="D201" s="124"/>
      <c r="E201" s="124"/>
      <c r="F201" s="124"/>
      <c r="G201" s="124"/>
      <c r="H201" s="124"/>
      <c r="I201" s="6"/>
      <c r="J201" s="57"/>
      <c r="K201" s="123"/>
      <c r="L201" s="123"/>
      <c r="M201" s="123"/>
      <c r="N201" s="124"/>
      <c r="O201" s="124"/>
      <c r="P201" s="124"/>
      <c r="Q201" s="124"/>
    </row>
    <row r="202" spans="1:17" ht="12.75">
      <c r="A202" s="45"/>
      <c r="B202" s="124"/>
      <c r="C202" s="124"/>
      <c r="D202" s="124"/>
      <c r="E202" s="124"/>
      <c r="F202" s="124"/>
      <c r="G202" s="124"/>
      <c r="H202" s="124"/>
      <c r="I202" s="6"/>
      <c r="J202" s="57"/>
      <c r="K202" s="123"/>
      <c r="L202" s="123"/>
      <c r="M202" s="123"/>
      <c r="N202" s="124"/>
      <c r="O202" s="124"/>
      <c r="P202" s="124"/>
      <c r="Q202" s="124"/>
    </row>
    <row r="203" spans="1:17" ht="12.75">
      <c r="A203" s="124"/>
      <c r="B203" s="56"/>
      <c r="C203" s="124"/>
      <c r="D203" s="124"/>
      <c r="E203" s="124"/>
      <c r="F203" s="124"/>
      <c r="G203" s="124"/>
      <c r="H203" s="124"/>
      <c r="I203" s="124"/>
      <c r="J203" s="172"/>
      <c r="K203" s="124"/>
      <c r="L203" s="124"/>
      <c r="M203" s="124"/>
      <c r="N203" s="56"/>
      <c r="O203" s="124"/>
      <c r="P203" s="124"/>
      <c r="Q203" s="124"/>
    </row>
    <row r="204" spans="1:17" ht="12.7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1:17" ht="10.5" customHeight="1">
      <c r="A205" s="124"/>
      <c r="B205" s="124"/>
      <c r="J205" s="124"/>
      <c r="K205" s="124"/>
      <c r="L205" s="124"/>
      <c r="M205" s="124"/>
      <c r="N205" s="124"/>
      <c r="O205" s="124"/>
      <c r="P205" s="124"/>
      <c r="Q205" s="124"/>
    </row>
    <row r="206" spans="1:17" ht="10.5" customHeight="1">
      <c r="A206" s="124"/>
      <c r="B206" s="124"/>
      <c r="J206" s="170"/>
      <c r="K206" s="170"/>
      <c r="L206" s="55"/>
      <c r="M206" s="124"/>
      <c r="N206" s="124"/>
      <c r="O206" s="124"/>
      <c r="P206" s="124"/>
      <c r="Q206" s="124"/>
    </row>
    <row r="207" spans="1:17" ht="10.5" customHeight="1">
      <c r="A207" s="124"/>
      <c r="B207" s="124"/>
      <c r="C207" s="124"/>
      <c r="D207" s="124"/>
      <c r="E207" s="124"/>
      <c r="F207" s="170"/>
      <c r="G207" s="170"/>
      <c r="H207" s="124"/>
      <c r="I207" s="124"/>
      <c r="J207" s="170"/>
      <c r="K207" s="170"/>
      <c r="L207" s="55"/>
      <c r="M207" s="124"/>
      <c r="N207" s="124"/>
      <c r="O207" s="124"/>
      <c r="P207" s="124"/>
      <c r="Q207" s="124"/>
    </row>
    <row r="211" spans="1:20" ht="10.5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65"/>
    </row>
  </sheetData>
  <sheetProtection algorithmName="SHA-512" hashValue="j4n8RxjUeVTHQLWSm97K5DdHPN62aMgYAd2rcrGDDKjbwVUhznJ+Fx/SQNQLQo6cQsYz1/NlCHPg1BpV0ej5eQ==" saltValue="lnABiIf84d/gpTAPXtn6UQ==" spinCount="100000" sheet="1" objects="1" scenarios="1" selectLockedCells="1"/>
  <mergeCells count="228">
    <mergeCell ref="B159:I159"/>
    <mergeCell ref="B90:I90"/>
    <mergeCell ref="B80:I80"/>
    <mergeCell ref="C64:D64"/>
    <mergeCell ref="C65:D65"/>
    <mergeCell ref="C66:D66"/>
    <mergeCell ref="C72:D72"/>
    <mergeCell ref="C73:D73"/>
    <mergeCell ref="O117:P117"/>
    <mergeCell ref="K127:L127"/>
    <mergeCell ref="O127:P127"/>
    <mergeCell ref="M127:N127"/>
    <mergeCell ref="B118:I118"/>
    <mergeCell ref="B116:I116"/>
    <mergeCell ref="K94:L94"/>
    <mergeCell ref="B83:D83"/>
    <mergeCell ref="B84:D84"/>
    <mergeCell ref="B86:D86"/>
    <mergeCell ref="E83:F83"/>
    <mergeCell ref="G83:H83"/>
    <mergeCell ref="I83:J83"/>
    <mergeCell ref="K83:L83"/>
    <mergeCell ref="M83:N83"/>
    <mergeCell ref="M153:N153"/>
    <mergeCell ref="U123:V123"/>
    <mergeCell ref="U124:V124"/>
    <mergeCell ref="U125:V125"/>
    <mergeCell ref="O76:P76"/>
    <mergeCell ref="N4:O4"/>
    <mergeCell ref="K78:L78"/>
    <mergeCell ref="O78:P78"/>
    <mergeCell ref="K80:L80"/>
    <mergeCell ref="O80:P80"/>
    <mergeCell ref="K88:L88"/>
    <mergeCell ref="O88:P88"/>
    <mergeCell ref="K90:L90"/>
    <mergeCell ref="O90:P90"/>
    <mergeCell ref="L4:M4"/>
    <mergeCell ref="K123:L123"/>
    <mergeCell ref="O123:P123"/>
    <mergeCell ref="K124:L124"/>
    <mergeCell ref="O124:P124"/>
    <mergeCell ref="K79:P79"/>
    <mergeCell ref="M88:N88"/>
    <mergeCell ref="M90:N90"/>
    <mergeCell ref="K53:L53"/>
    <mergeCell ref="K54:L54"/>
    <mergeCell ref="K55:L55"/>
    <mergeCell ref="N6:O6"/>
    <mergeCell ref="K6:L6"/>
    <mergeCell ref="H6:I6"/>
    <mergeCell ref="P3:Q3"/>
    <mergeCell ref="P4:Q4"/>
    <mergeCell ref="N3:O3"/>
    <mergeCell ref="L3:M3"/>
    <mergeCell ref="J4:K4"/>
    <mergeCell ref="J3:K3"/>
    <mergeCell ref="H4:I4"/>
    <mergeCell ref="H3:I3"/>
    <mergeCell ref="F4:G4"/>
    <mergeCell ref="F3:G3"/>
    <mergeCell ref="K76:L76"/>
    <mergeCell ref="D3:E3"/>
    <mergeCell ref="D4:E4"/>
    <mergeCell ref="F70:G71"/>
    <mergeCell ref="F72:G72"/>
    <mergeCell ref="F73:G73"/>
    <mergeCell ref="C70:E71"/>
    <mergeCell ref="K167:L167"/>
    <mergeCell ref="M167:N167"/>
    <mergeCell ref="O167:P167"/>
    <mergeCell ref="K162:L162"/>
    <mergeCell ref="M162:N162"/>
    <mergeCell ref="O162:P162"/>
    <mergeCell ref="K163:L163"/>
    <mergeCell ref="M163:N163"/>
    <mergeCell ref="O163:P163"/>
    <mergeCell ref="K164:L164"/>
    <mergeCell ref="O164:P164"/>
    <mergeCell ref="O165:P165"/>
    <mergeCell ref="K166:L166"/>
    <mergeCell ref="M166:N166"/>
    <mergeCell ref="O166:P166"/>
    <mergeCell ref="O153:P153"/>
    <mergeCell ref="K154:L154"/>
    <mergeCell ref="M154:N154"/>
    <mergeCell ref="O154:P154"/>
    <mergeCell ref="K158:L158"/>
    <mergeCell ref="M158:N158"/>
    <mergeCell ref="O158:P158"/>
    <mergeCell ref="K159:L159"/>
    <mergeCell ref="M159:N159"/>
    <mergeCell ref="O159:P159"/>
    <mergeCell ref="K156:L156"/>
    <mergeCell ref="M156:N156"/>
    <mergeCell ref="O156:P156"/>
    <mergeCell ref="K157:L157"/>
    <mergeCell ref="M157:N157"/>
    <mergeCell ref="O157:P157"/>
    <mergeCell ref="B145:I145"/>
    <mergeCell ref="O143:P143"/>
    <mergeCell ref="I194:J194"/>
    <mergeCell ref="I195:J195"/>
    <mergeCell ref="C196:G196"/>
    <mergeCell ref="I196:J196"/>
    <mergeCell ref="I197:J197"/>
    <mergeCell ref="A140:I140"/>
    <mergeCell ref="K140:L140"/>
    <mergeCell ref="M140:N140"/>
    <mergeCell ref="K146:L146"/>
    <mergeCell ref="M146:N146"/>
    <mergeCell ref="B144:G144"/>
    <mergeCell ref="O146:P146"/>
    <mergeCell ref="I193:J193"/>
    <mergeCell ref="M145:N145"/>
    <mergeCell ref="K145:L145"/>
    <mergeCell ref="O145:P145"/>
    <mergeCell ref="K153:L153"/>
    <mergeCell ref="K168:L168"/>
    <mergeCell ref="M168:N168"/>
    <mergeCell ref="O168:P168"/>
    <mergeCell ref="K165:L165"/>
    <mergeCell ref="M165:N165"/>
    <mergeCell ref="O94:P94"/>
    <mergeCell ref="K109:L109"/>
    <mergeCell ref="M109:N109"/>
    <mergeCell ref="K133:L133"/>
    <mergeCell ref="K115:L115"/>
    <mergeCell ref="M116:N116"/>
    <mergeCell ref="K117:L117"/>
    <mergeCell ref="M117:N117"/>
    <mergeCell ref="K96:L96"/>
    <mergeCell ref="M96:N96"/>
    <mergeCell ref="M94:N94"/>
    <mergeCell ref="K110:L110"/>
    <mergeCell ref="O115:P115"/>
    <mergeCell ref="M115:N115"/>
    <mergeCell ref="K143:L143"/>
    <mergeCell ref="K137:L137"/>
    <mergeCell ref="M137:N137"/>
    <mergeCell ref="O137:P137"/>
    <mergeCell ref="K138:L138"/>
    <mergeCell ref="M138:N138"/>
    <mergeCell ref="O138:P138"/>
    <mergeCell ref="O140:P140"/>
    <mergeCell ref="O142:P142"/>
    <mergeCell ref="K142:L142"/>
    <mergeCell ref="K141:L141"/>
    <mergeCell ref="K97:L97"/>
    <mergeCell ref="M97:N97"/>
    <mergeCell ref="O97:P97"/>
    <mergeCell ref="K95:L95"/>
    <mergeCell ref="M95:N95"/>
    <mergeCell ref="O95:P95"/>
    <mergeCell ref="K139:L139"/>
    <mergeCell ref="M139:N139"/>
    <mergeCell ref="O139:P139"/>
    <mergeCell ref="K134:L134"/>
    <mergeCell ref="M134:N134"/>
    <mergeCell ref="O134:P134"/>
    <mergeCell ref="M98:N98"/>
    <mergeCell ref="O98:P98"/>
    <mergeCell ref="O100:P100"/>
    <mergeCell ref="K135:L135"/>
    <mergeCell ref="M135:N135"/>
    <mergeCell ref="O135:P135"/>
    <mergeCell ref="K136:L136"/>
    <mergeCell ref="M136:N136"/>
    <mergeCell ref="O136:P136"/>
    <mergeCell ref="K98:L98"/>
    <mergeCell ref="O133:P133"/>
    <mergeCell ref="M104:N104"/>
    <mergeCell ref="O126:P126"/>
    <mergeCell ref="M110:N110"/>
    <mergeCell ref="K99:P99"/>
    <mergeCell ref="K104:L104"/>
    <mergeCell ref="M128:N128"/>
    <mergeCell ref="K125:L125"/>
    <mergeCell ref="O125:P125"/>
    <mergeCell ref="K126:L126"/>
    <mergeCell ref="M85:N85"/>
    <mergeCell ref="O85:P85"/>
    <mergeCell ref="B152:J152"/>
    <mergeCell ref="B162:I162"/>
    <mergeCell ref="Q78:R79"/>
    <mergeCell ref="Q80:R82"/>
    <mergeCell ref="U126:V126"/>
    <mergeCell ref="A110:J110"/>
    <mergeCell ref="A117:I117"/>
    <mergeCell ref="B106:R106"/>
    <mergeCell ref="H143:I143"/>
    <mergeCell ref="B142:G142"/>
    <mergeCell ref="A143:G143"/>
    <mergeCell ref="M143:N143"/>
    <mergeCell ref="K122:L122"/>
    <mergeCell ref="U122:V122"/>
    <mergeCell ref="O122:P122"/>
    <mergeCell ref="B95:E95"/>
    <mergeCell ref="O96:P96"/>
    <mergeCell ref="K102:L102"/>
    <mergeCell ref="M102:N102"/>
    <mergeCell ref="K103:L103"/>
    <mergeCell ref="M103:N103"/>
    <mergeCell ref="M101:N101"/>
    <mergeCell ref="K91:P91"/>
    <mergeCell ref="E86:F86"/>
    <mergeCell ref="G86:H86"/>
    <mergeCell ref="I86:J86"/>
    <mergeCell ref="K86:L86"/>
    <mergeCell ref="M86:N86"/>
    <mergeCell ref="O86:P86"/>
    <mergeCell ref="B85:D85"/>
    <mergeCell ref="M75:N75"/>
    <mergeCell ref="B81:I81"/>
    <mergeCell ref="K81:L81"/>
    <mergeCell ref="O81:P81"/>
    <mergeCell ref="K82:P82"/>
    <mergeCell ref="O83:P83"/>
    <mergeCell ref="E84:F84"/>
    <mergeCell ref="G84:H84"/>
    <mergeCell ref="I84:J84"/>
    <mergeCell ref="K84:L84"/>
    <mergeCell ref="M84:N84"/>
    <mergeCell ref="O84:P84"/>
    <mergeCell ref="E85:F85"/>
    <mergeCell ref="G85:H85"/>
    <mergeCell ref="I85:J85"/>
    <mergeCell ref="K85:L85"/>
  </mergeCells>
  <phoneticPr fontId="31" type="noConversion"/>
  <conditionalFormatting sqref="C10:I47 K10:Q47">
    <cfRule type="expression" dxfId="31" priority="98" stopIfTrue="1">
      <formula>AND(RIGHT($B10,2)="00",C10="")</formula>
    </cfRule>
    <cfRule type="expression" dxfId="30" priority="99" stopIfTrue="1">
      <formula>AND(RIGHT($B10,2)&lt;&gt;"00",C10="")</formula>
    </cfRule>
    <cfRule type="expression" dxfId="29" priority="100" stopIfTrue="1">
      <formula>AND(RIGHT($B10,2)&lt;&gt;"00",C10="v")</formula>
    </cfRule>
    <cfRule type="expression" dxfId="28" priority="101" stopIfTrue="1">
      <formula>AND(RIGHT($B10,2)="00",C10="m")</formula>
    </cfRule>
    <cfRule type="expression" dxfId="27" priority="102" stopIfTrue="1">
      <formula>AND(RIGHT($B10,2)&lt;&gt;"00",C10="m")</formula>
    </cfRule>
    <cfRule type="expression" dxfId="26" priority="103" stopIfTrue="1">
      <formula>AND(RIGHT($B10,2)&lt;&gt;"00",C10="s")</formula>
    </cfRule>
    <cfRule type="expression" dxfId="25" priority="104" stopIfTrue="1">
      <formula>AND(RIGHT($B10,2)="00",C10="s")</formula>
    </cfRule>
    <cfRule type="expression" dxfId="24" priority="105" stopIfTrue="1">
      <formula>AND(RIGHT($B10,2)="00",C10="v")</formula>
    </cfRule>
  </conditionalFormatting>
  <conditionalFormatting sqref="K83:P83">
    <cfRule type="expression" dxfId="23" priority="35">
      <formula>K$83&lt;&gt;""</formula>
    </cfRule>
    <cfRule type="expression" dxfId="22" priority="36">
      <formula>K$83=""</formula>
    </cfRule>
  </conditionalFormatting>
  <conditionalFormatting sqref="E83:J83">
    <cfRule type="expression" dxfId="21" priority="25">
      <formula>E$83&lt;&gt;""</formula>
    </cfRule>
    <cfRule type="expression" dxfId="20" priority="26">
      <formula>E$83=""</formula>
    </cfRule>
  </conditionalFormatting>
  <conditionalFormatting sqref="K84:L84">
    <cfRule type="expression" dxfId="19" priority="23">
      <formula>K$83&lt;&gt;""</formula>
    </cfRule>
    <cfRule type="expression" dxfId="18" priority="24">
      <formula>K$83=""</formula>
    </cfRule>
  </conditionalFormatting>
  <conditionalFormatting sqref="E84:J84">
    <cfRule type="expression" dxfId="17" priority="21">
      <formula>E$83&lt;&gt;""</formula>
    </cfRule>
    <cfRule type="expression" dxfId="16" priority="22">
      <formula>E$83=""</formula>
    </cfRule>
  </conditionalFormatting>
  <conditionalFormatting sqref="M84:P84">
    <cfRule type="expression" dxfId="15" priority="19">
      <formula>M$83&lt;&gt;""</formula>
    </cfRule>
    <cfRule type="expression" dxfId="14" priority="20">
      <formula>M$83=""</formula>
    </cfRule>
  </conditionalFormatting>
  <conditionalFormatting sqref="E85:J85">
    <cfRule type="expression" dxfId="13" priority="17">
      <formula>E$83&lt;&gt;""</formula>
    </cfRule>
    <cfRule type="expression" dxfId="12" priority="18">
      <formula>E$83=""</formula>
    </cfRule>
  </conditionalFormatting>
  <conditionalFormatting sqref="M85:P85">
    <cfRule type="expression" dxfId="11" priority="15">
      <formula>M$83&lt;&gt;""</formula>
    </cfRule>
    <cfRule type="expression" dxfId="10" priority="16">
      <formula>M$83=""</formula>
    </cfRule>
  </conditionalFormatting>
  <conditionalFormatting sqref="M86:P86">
    <cfRule type="expression" dxfId="9" priority="11">
      <formula>M$83&lt;&gt;""</formula>
    </cfRule>
    <cfRule type="expression" dxfId="8" priority="12">
      <formula>M$83=""</formula>
    </cfRule>
  </conditionalFormatting>
  <conditionalFormatting sqref="K85:L85">
    <cfRule type="expression" dxfId="7" priority="9">
      <formula>K$83&lt;&gt;""</formula>
    </cfRule>
    <cfRule type="expression" dxfId="6" priority="10">
      <formula>K$83=""</formula>
    </cfRule>
  </conditionalFormatting>
  <conditionalFormatting sqref="E86:F86">
    <cfRule type="expression" dxfId="5" priority="7">
      <formula>E$83&lt;&gt;""</formula>
    </cfRule>
    <cfRule type="expression" dxfId="4" priority="8">
      <formula>E$83=""</formula>
    </cfRule>
  </conditionalFormatting>
  <conditionalFormatting sqref="G86:L86">
    <cfRule type="expression" dxfId="3" priority="5">
      <formula>G$83&lt;&gt;""</formula>
    </cfRule>
    <cfRule type="expression" dxfId="2" priority="6">
      <formula>G$83=""</formula>
    </cfRule>
  </conditionalFormatting>
  <conditionalFormatting sqref="K80:L80">
    <cfRule type="expression" dxfId="1" priority="2">
      <formula>$K$81&lt;&gt;""</formula>
    </cfRule>
  </conditionalFormatting>
  <conditionalFormatting sqref="O80:P80">
    <cfRule type="expression" dxfId="0" priority="1">
      <formula>$O$81&lt;&gt;""</formula>
    </cfRule>
  </conditionalFormatting>
  <hyperlinks>
    <hyperlink ref="Q80" location="'Düsseldorfer Tabelle'!A1" display="Düsseldorfer Tabelle"/>
    <hyperlink ref="Q78" r:id="rId1"/>
  </hyperlinks>
  <pageMargins left="0.78740157480314965" right="0.39370078740157483" top="0.39000000000000007" bottom="0.39000000000000007" header="0.51" footer="0.51"/>
  <pageSetup paperSize="9" scale="90" firstPageNumber="0" fitToHeight="3" orientation="portrait" horizontalDpi="300" verticalDpi="300" r:id="rId2"/>
  <headerFooter alignWithMargins="0"/>
  <rowBreaks count="2" manualBreakCount="2">
    <brk id="99" max="16383" man="1"/>
    <brk id="1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opLeftCell="A22" workbookViewId="0">
      <selection activeCell="O46" sqref="O46"/>
    </sheetView>
  </sheetViews>
  <sheetFormatPr baseColWidth="10" defaultColWidth="11.42578125" defaultRowHeight="12.75"/>
  <cols>
    <col min="3" max="3" width="10.42578125" customWidth="1"/>
    <col min="4" max="4" width="13.28515625" style="125" customWidth="1"/>
    <col min="5" max="6" width="6.85546875" style="125" customWidth="1"/>
    <col min="7" max="7" width="9.140625" style="125" customWidth="1"/>
    <col min="8" max="12" width="7.85546875" style="125" customWidth="1"/>
    <col min="14" max="14" width="9.85546875" style="125" customWidth="1"/>
    <col min="15" max="15" width="11.140625" style="125" customWidth="1"/>
    <col min="16" max="16" width="9.85546875" style="125" customWidth="1"/>
    <col min="17" max="17" width="10.85546875" style="136" customWidth="1"/>
    <col min="18" max="18" width="13" style="136" customWidth="1"/>
    <col min="19" max="19" width="6.42578125" style="136" customWidth="1"/>
    <col min="20" max="21" width="10.85546875" style="136" customWidth="1"/>
    <col min="22" max="23" width="8" style="125" customWidth="1"/>
    <col min="24" max="24" width="9.85546875" style="125" customWidth="1"/>
    <col min="25" max="25" width="8" style="125" customWidth="1"/>
    <col min="26" max="27" width="11.85546875" style="136" customWidth="1"/>
    <col min="28" max="28" width="14.140625" style="125" customWidth="1"/>
    <col min="33" max="33" width="18.7109375" customWidth="1"/>
  </cols>
  <sheetData>
    <row r="1" spans="1:34">
      <c r="A1" s="171"/>
      <c r="B1" s="171" t="s">
        <v>4</v>
      </c>
      <c r="C1" s="171" t="s">
        <v>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V1" s="171"/>
      <c r="W1" s="171"/>
      <c r="X1" s="171"/>
      <c r="Y1" s="171"/>
      <c r="AB1" s="171"/>
      <c r="AC1" s="171"/>
      <c r="AD1" s="171"/>
      <c r="AE1" s="171"/>
      <c r="AF1" s="171"/>
      <c r="AG1" s="171"/>
      <c r="AH1" s="171"/>
    </row>
    <row r="2" spans="1:34">
      <c r="A2" s="171" t="s">
        <v>145</v>
      </c>
      <c r="B2" s="50">
        <f>'Rosenheimer Modell'!K78</f>
        <v>2200</v>
      </c>
      <c r="C2" s="50">
        <f>'Rosenheimer Modell'!O78</f>
        <v>2500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P2" s="64"/>
      <c r="Q2" s="171" t="str">
        <f>'Rosenheimer Modell'!K163</f>
        <v>Elternteil A</v>
      </c>
      <c r="R2" s="189" t="str">
        <f>'Rosenheimer Modell'!O163</f>
        <v>Elternteil B</v>
      </c>
      <c r="V2" s="171"/>
      <c r="W2" s="171"/>
      <c r="X2" s="171"/>
      <c r="Y2" s="171"/>
      <c r="AB2" s="171"/>
      <c r="AC2" s="171"/>
      <c r="AD2" s="171"/>
      <c r="AE2" s="171"/>
      <c r="AF2" s="171"/>
      <c r="AG2" s="171"/>
      <c r="AH2" s="171"/>
    </row>
    <row r="3" spans="1:34" s="125" customFormat="1">
      <c r="A3" s="171" t="s">
        <v>146</v>
      </c>
      <c r="B3" s="50">
        <f>'Rosenheimer Modell'!K80</f>
        <v>-674</v>
      </c>
      <c r="C3" s="50">
        <f>'Rosenheimer Modell'!O80</f>
        <v>-712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P3" s="6" t="str">
        <f>'Rosenheimer Modell'!I165</f>
        <v>Summe Ausgleich zwischen den Haushalten</v>
      </c>
      <c r="Q3" s="188">
        <f>'Rosenheimer Modell'!K165</f>
        <v>74.338764509070529</v>
      </c>
      <c r="R3" s="189">
        <f>'Rosenheimer Modell'!O165</f>
        <v>-74.338764509070472</v>
      </c>
      <c r="S3" s="136"/>
      <c r="T3" s="136"/>
      <c r="U3" s="136"/>
      <c r="V3" s="171"/>
      <c r="W3" s="171"/>
      <c r="X3" s="171"/>
      <c r="Y3" s="171"/>
      <c r="Z3" s="136"/>
      <c r="AA3" s="136"/>
      <c r="AB3" s="171"/>
      <c r="AC3" s="171"/>
      <c r="AD3" s="171"/>
      <c r="AE3" s="171"/>
      <c r="AF3" s="171"/>
      <c r="AG3" s="171"/>
      <c r="AH3" s="171"/>
    </row>
    <row r="4" spans="1:34" s="125" customFormat="1">
      <c r="A4" s="171" t="s">
        <v>147</v>
      </c>
      <c r="B4" s="50">
        <f>'Rosenheimer Modell'!K88</f>
        <v>384</v>
      </c>
      <c r="C4" s="50">
        <f>'Rosenheimer Modell'!O88</f>
        <v>0</v>
      </c>
      <c r="D4" s="171"/>
      <c r="E4" s="171"/>
      <c r="F4" s="55" t="s">
        <v>142</v>
      </c>
      <c r="G4" s="55" t="str">
        <f>CONCATENATE('Rosenheimer Modell'!K53," Rosenheimer Modell")</f>
        <v>Elternteil A Rosenheimer Modell</v>
      </c>
      <c r="H4" s="55" t="str">
        <f>CONCATENATE('Rosenheimer Modell'!K54," Rosenheimer Modell")</f>
        <v>Elternteil B Rosenheimer Modell</v>
      </c>
      <c r="I4" s="55" t="str">
        <f>CONCATENATE('Rosenheimer Modell'!K53," Residenz Modell")</f>
        <v>Elternteil A Residenz Modell</v>
      </c>
      <c r="J4" s="55" t="str">
        <f>CONCATENATE('Rosenheimer Modell'!K54," Residenz Modell")</f>
        <v>Elternteil B Residenz Modell</v>
      </c>
      <c r="K4" s="55" t="s">
        <v>142</v>
      </c>
      <c r="L4" s="124"/>
      <c r="M4" s="171"/>
      <c r="P4" s="6" t="str">
        <f>'Rosenheimer Modell'!I166</f>
        <v>erhaltene staatliche Zuwendungen</v>
      </c>
      <c r="Q4" s="188">
        <f>'Rosenheimer Modell'!K166</f>
        <v>384</v>
      </c>
      <c r="R4" s="189">
        <f>'Rosenheimer Modell'!O166</f>
        <v>0</v>
      </c>
      <c r="S4" s="136"/>
      <c r="T4" s="136"/>
      <c r="U4" s="136"/>
      <c r="V4" s="171"/>
      <c r="W4" s="171"/>
      <c r="X4" s="171"/>
      <c r="Y4" s="171"/>
      <c r="Z4" s="136"/>
      <c r="AA4" s="136"/>
      <c r="AB4" s="171"/>
      <c r="AC4" s="171"/>
      <c r="AD4" s="171"/>
      <c r="AE4" s="171"/>
      <c r="AF4" s="171"/>
      <c r="AG4" s="171"/>
      <c r="AH4" s="171"/>
    </row>
    <row r="5" spans="1:34" s="125" customFormat="1">
      <c r="A5" s="171" t="s">
        <v>148</v>
      </c>
      <c r="B5" s="50">
        <f>'Rosenheimer Modell'!K90</f>
        <v>-120</v>
      </c>
      <c r="C5" s="50">
        <f>'Rosenheimer Modell'!O90</f>
        <v>0</v>
      </c>
      <c r="D5" s="171"/>
      <c r="E5" s="171"/>
      <c r="F5" s="124"/>
      <c r="G5" s="124" t="s">
        <v>143</v>
      </c>
      <c r="H5" s="124" t="s">
        <v>143</v>
      </c>
      <c r="I5" s="170" t="s">
        <v>144</v>
      </c>
      <c r="J5" s="170" t="s">
        <v>144</v>
      </c>
      <c r="K5" s="124"/>
      <c r="L5" s="124"/>
      <c r="M5" s="171"/>
      <c r="P5" s="6" t="str">
        <f>'Rosenheimer Modell'!I167</f>
        <v>bereits bezahlte Kosten</v>
      </c>
      <c r="Q5" s="188">
        <f>'Rosenheimer Modell'!K167</f>
        <v>-120</v>
      </c>
      <c r="R5" s="189">
        <f>'Rosenheimer Modell'!O167</f>
        <v>0</v>
      </c>
      <c r="S5" s="136"/>
      <c r="T5" s="136"/>
      <c r="U5" s="136"/>
      <c r="V5" s="171"/>
      <c r="W5" s="171"/>
      <c r="X5" s="171"/>
      <c r="Y5" s="171"/>
      <c r="Z5" s="136"/>
      <c r="AA5" s="136"/>
      <c r="AB5" s="171"/>
      <c r="AC5" s="171"/>
      <c r="AD5" s="171"/>
      <c r="AE5" s="171"/>
      <c r="AF5" s="171"/>
      <c r="AG5" s="171"/>
      <c r="AH5" s="171"/>
    </row>
    <row r="6" spans="1:34" s="125" customFormat="1">
      <c r="A6" s="171" t="s">
        <v>149</v>
      </c>
      <c r="B6" s="171"/>
      <c r="C6" s="171">
        <f>'Rosenheimer Modell'!H142</f>
        <v>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P6" s="6" t="s">
        <v>208</v>
      </c>
      <c r="Q6" s="188">
        <f>'Rosenheimer Modell'!K168</f>
        <v>338.33876450907053</v>
      </c>
      <c r="R6" s="189">
        <f>'Rosenheimer Modell'!O168</f>
        <v>-74.338764509070472</v>
      </c>
      <c r="S6" s="136"/>
      <c r="T6" s="136"/>
      <c r="U6" s="136"/>
      <c r="V6" s="171"/>
      <c r="W6" s="171"/>
      <c r="X6" s="171"/>
      <c r="Y6" s="171"/>
      <c r="Z6" s="136"/>
      <c r="AA6" s="136"/>
      <c r="AB6" s="171"/>
      <c r="AC6" s="171"/>
      <c r="AD6" s="171"/>
      <c r="AE6" s="171"/>
      <c r="AF6" s="171"/>
      <c r="AG6" s="171"/>
      <c r="AH6" s="171"/>
    </row>
    <row r="7" spans="1:34" s="125" customFormat="1">
      <c r="A7" s="171" t="s">
        <v>150</v>
      </c>
      <c r="B7" s="171"/>
      <c r="C7" s="153">
        <f>C6/18</f>
        <v>0.3888888888888889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36"/>
      <c r="R7" s="136"/>
      <c r="S7" s="136"/>
      <c r="T7" s="136"/>
      <c r="U7" s="136"/>
      <c r="V7" s="171"/>
      <c r="W7" s="171"/>
      <c r="X7" s="171"/>
      <c r="Y7" s="171"/>
      <c r="Z7" s="136"/>
      <c r="AA7" s="136"/>
      <c r="AB7" s="171"/>
      <c r="AC7" s="171"/>
      <c r="AD7" s="171"/>
      <c r="AE7" s="171"/>
      <c r="AF7" s="171"/>
      <c r="AG7" s="171"/>
      <c r="AH7" s="171"/>
    </row>
    <row r="8" spans="1:34" s="125" customForma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36"/>
      <c r="R8" s="136"/>
      <c r="S8" s="136"/>
      <c r="T8" s="136"/>
      <c r="U8" s="136"/>
      <c r="V8" s="171"/>
      <c r="W8" s="171"/>
      <c r="X8" s="171"/>
      <c r="Y8" s="171"/>
      <c r="Z8" s="136"/>
      <c r="AA8" s="136"/>
      <c r="AB8" s="171"/>
      <c r="AC8" s="171"/>
      <c r="AD8" s="171"/>
      <c r="AE8" s="171"/>
      <c r="AF8" s="171"/>
      <c r="AG8" s="171"/>
      <c r="AH8" s="171"/>
    </row>
    <row r="9" spans="1:34" s="125" customForma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36"/>
      <c r="R9" s="136"/>
      <c r="S9" s="136"/>
      <c r="T9" s="136"/>
      <c r="U9" s="136"/>
      <c r="V9" s="171"/>
      <c r="W9" s="171"/>
      <c r="X9" s="171"/>
      <c r="Y9" s="171"/>
      <c r="Z9" s="136"/>
      <c r="AA9" s="136"/>
      <c r="AB9" s="171"/>
      <c r="AC9" s="171"/>
      <c r="AD9" s="171"/>
      <c r="AE9" s="171"/>
      <c r="AF9" s="171"/>
      <c r="AG9" s="171"/>
      <c r="AH9" s="171"/>
    </row>
    <row r="10" spans="1:34" s="125" customFormat="1">
      <c r="A10" s="171"/>
      <c r="B10" s="171"/>
      <c r="C10" s="171" t="s">
        <v>151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 t="s">
        <v>152</v>
      </c>
      <c r="N10" s="171"/>
      <c r="O10" s="171"/>
      <c r="P10" s="171"/>
      <c r="Q10" s="55" t="s">
        <v>153</v>
      </c>
      <c r="R10" s="136"/>
      <c r="S10" s="136"/>
      <c r="T10" s="136"/>
      <c r="U10" s="136"/>
      <c r="V10" s="171"/>
      <c r="W10" s="171"/>
      <c r="X10" s="171"/>
      <c r="Y10" s="171"/>
      <c r="Z10" s="136"/>
      <c r="AA10" s="136"/>
      <c r="AB10" s="171"/>
      <c r="AC10" s="171"/>
      <c r="AD10" s="171"/>
      <c r="AE10" s="171"/>
      <c r="AF10" s="171"/>
      <c r="AG10" s="171"/>
      <c r="AH10" s="171"/>
    </row>
    <row r="11" spans="1:34">
      <c r="A11" s="171"/>
      <c r="B11" s="124"/>
      <c r="C11" s="124"/>
      <c r="D11" s="124"/>
      <c r="E11" s="124"/>
      <c r="F11" s="143" t="s">
        <v>154</v>
      </c>
      <c r="G11" s="143" t="s">
        <v>155</v>
      </c>
      <c r="H11" s="124"/>
      <c r="I11" s="143" t="s">
        <v>156</v>
      </c>
      <c r="J11" s="143"/>
      <c r="K11" s="143"/>
      <c r="L11" s="143" t="s">
        <v>157</v>
      </c>
      <c r="M11" s="171"/>
      <c r="N11" s="143" t="s">
        <v>158</v>
      </c>
      <c r="O11" s="124"/>
      <c r="P11" s="124"/>
      <c r="R11" s="137"/>
      <c r="S11" s="137"/>
      <c r="T11" s="137"/>
      <c r="U11" s="143" t="s">
        <v>155</v>
      </c>
      <c r="V11" s="143"/>
      <c r="W11" s="143"/>
      <c r="X11" s="143"/>
      <c r="Y11" s="143"/>
      <c r="Z11" s="143" t="s">
        <v>157</v>
      </c>
      <c r="AA11" s="143" t="s">
        <v>158</v>
      </c>
      <c r="AB11" s="124"/>
      <c r="AC11" s="124" t="s">
        <v>142</v>
      </c>
      <c r="AD11" s="171"/>
      <c r="AE11" s="171"/>
      <c r="AF11" s="171"/>
      <c r="AG11" s="171" t="s">
        <v>159</v>
      </c>
      <c r="AH11" s="171" t="s">
        <v>160</v>
      </c>
    </row>
    <row r="12" spans="1:34">
      <c r="A12" s="171"/>
      <c r="B12" s="124"/>
      <c r="C12" s="124"/>
      <c r="D12" s="124"/>
      <c r="E12" s="124"/>
      <c r="F12" s="124" t="s">
        <v>161</v>
      </c>
      <c r="G12" s="137" t="s">
        <v>162</v>
      </c>
      <c r="H12" s="124" t="s">
        <v>163</v>
      </c>
      <c r="I12" s="124" t="s">
        <v>164</v>
      </c>
      <c r="J12" s="124" t="s">
        <v>165</v>
      </c>
      <c r="K12" s="124" t="s">
        <v>166</v>
      </c>
      <c r="L12" s="124" t="s">
        <v>167</v>
      </c>
      <c r="M12" s="171"/>
      <c r="N12" s="124"/>
      <c r="O12" s="124"/>
      <c r="P12" s="124"/>
      <c r="Q12" s="137"/>
      <c r="R12" s="139"/>
      <c r="S12" s="139"/>
      <c r="T12" s="139"/>
      <c r="U12" s="139" t="s">
        <v>162</v>
      </c>
      <c r="V12" s="170"/>
      <c r="W12" s="124" t="s">
        <v>164</v>
      </c>
      <c r="X12" s="124" t="s">
        <v>165</v>
      </c>
      <c r="Y12" s="124" t="s">
        <v>166</v>
      </c>
      <c r="Z12" s="139" t="s">
        <v>167</v>
      </c>
      <c r="AA12" s="139"/>
      <c r="AB12" s="170" t="s">
        <v>168</v>
      </c>
      <c r="AC12" s="124"/>
      <c r="AD12" s="171"/>
      <c r="AE12" s="136" t="s">
        <v>169</v>
      </c>
      <c r="AF12" s="171"/>
      <c r="AG12" s="171"/>
      <c r="AH12" s="171"/>
    </row>
    <row r="13" spans="1:34">
      <c r="A13" s="171"/>
      <c r="B13" s="124" t="s">
        <v>142</v>
      </c>
      <c r="C13" s="137" t="s">
        <v>170</v>
      </c>
      <c r="D13" s="137" t="s">
        <v>171</v>
      </c>
      <c r="E13" s="137" t="s">
        <v>148</v>
      </c>
      <c r="F13" s="137" t="s">
        <v>172</v>
      </c>
      <c r="G13" s="137" t="s">
        <v>173</v>
      </c>
      <c r="H13" s="124" t="s">
        <v>174</v>
      </c>
      <c r="I13" s="124" t="s">
        <v>175</v>
      </c>
      <c r="J13" s="124" t="s">
        <v>176</v>
      </c>
      <c r="K13" s="124" t="s">
        <v>177</v>
      </c>
      <c r="L13" s="124" t="s">
        <v>178</v>
      </c>
      <c r="M13" s="171"/>
      <c r="N13" s="124" t="s">
        <v>179</v>
      </c>
      <c r="O13" s="137" t="s">
        <v>180</v>
      </c>
      <c r="P13" s="124"/>
      <c r="Q13" s="137" t="s">
        <v>181</v>
      </c>
      <c r="R13" s="139" t="str">
        <f>D13</f>
        <v>staatl. Zuwend.</v>
      </c>
      <c r="S13" s="139" t="str">
        <f>E13</f>
        <v>Kosten</v>
      </c>
      <c r="T13" s="139" t="s">
        <v>172</v>
      </c>
      <c r="U13" s="139" t="s">
        <v>173</v>
      </c>
      <c r="V13" s="170" t="s">
        <v>178</v>
      </c>
      <c r="W13" s="124" t="s">
        <v>175</v>
      </c>
      <c r="X13" s="124" t="s">
        <v>176</v>
      </c>
      <c r="Y13" s="124" t="s">
        <v>177</v>
      </c>
      <c r="Z13" s="139" t="s">
        <v>182</v>
      </c>
      <c r="AA13" s="139" t="s">
        <v>179</v>
      </c>
      <c r="AB13" s="170" t="s">
        <v>183</v>
      </c>
      <c r="AC13" s="124" t="s">
        <v>142</v>
      </c>
      <c r="AD13" s="171"/>
      <c r="AE13" s="136"/>
      <c r="AF13" s="171"/>
      <c r="AG13" s="171"/>
      <c r="AH13" s="171"/>
    </row>
    <row r="14" spans="1:34">
      <c r="A14" s="171"/>
      <c r="B14" s="2">
        <v>1</v>
      </c>
      <c r="C14" s="142">
        <f>$B$3*AC14</f>
        <v>0</v>
      </c>
      <c r="D14" s="142">
        <f>$B$4*-1</f>
        <v>-384</v>
      </c>
      <c r="E14" s="142">
        <f>$B$5*-1</f>
        <v>120</v>
      </c>
      <c r="F14" s="142">
        <f t="shared" ref="F14:F34" si="0">B14*AE14</f>
        <v>976</v>
      </c>
      <c r="G14" s="142">
        <f>C14+D14+E14+F14</f>
        <v>712</v>
      </c>
      <c r="H14" s="133">
        <f t="shared" ref="H14:H34" si="1">B14-50%</f>
        <v>0.5</v>
      </c>
      <c r="I14" s="145">
        <f t="shared" ref="I14:I32" si="2">$B$2-(B14*$B$2)</f>
        <v>0</v>
      </c>
      <c r="J14" s="145">
        <f>I14*H14</f>
        <v>0</v>
      </c>
      <c r="K14" s="145">
        <f>$C$7*J14</f>
        <v>0</v>
      </c>
      <c r="L14" s="135">
        <f>IF(B14&gt;50%,Z14*-1,(J14-K14)/2)</f>
        <v>381.94444444444446</v>
      </c>
      <c r="M14" s="127">
        <f>L14*$C$7</f>
        <v>148.53395061728395</v>
      </c>
      <c r="N14" s="135">
        <f t="shared" ref="N14:N34" si="3">G14+L14</f>
        <v>1093.9444444444443</v>
      </c>
      <c r="O14" s="141">
        <f>N14+$B$4+$B$5</f>
        <v>1357.9444444444443</v>
      </c>
      <c r="P14" s="135"/>
      <c r="Q14" s="138">
        <f t="shared" ref="Q14:Q34" si="4">$C$3*B14</f>
        <v>-712</v>
      </c>
      <c r="R14" s="140">
        <f>$C$4*-1</f>
        <v>0</v>
      </c>
      <c r="S14" s="138">
        <f>$C$5*-1</f>
        <v>0</v>
      </c>
      <c r="T14" s="138">
        <f>AC14*AE14</f>
        <v>0</v>
      </c>
      <c r="U14" s="142">
        <f>Q14+R14+S14+T14</f>
        <v>-712</v>
      </c>
      <c r="V14" s="134">
        <f>AC14-50%</f>
        <v>-0.5</v>
      </c>
      <c r="W14" s="145">
        <f>$C$2-(AC14*$C$2)</f>
        <v>2500</v>
      </c>
      <c r="X14" s="145">
        <f>W14*V14</f>
        <v>-1250</v>
      </c>
      <c r="Y14" s="145">
        <f>$C$7*X14</f>
        <v>-486.11111111111114</v>
      </c>
      <c r="Z14" s="135">
        <f>IF(AC14&gt;50%,L14*-1,(X14-Y14)/2)</f>
        <v>-381.94444444444446</v>
      </c>
      <c r="AA14" s="135">
        <f>U14+Z14</f>
        <v>-1093.9444444444443</v>
      </c>
      <c r="AB14" s="141">
        <f>AA14+$C$4+$C$5</f>
        <v>-1093.9444444444443</v>
      </c>
      <c r="AC14" s="2">
        <v>0</v>
      </c>
      <c r="AD14" s="171"/>
      <c r="AE14" s="144">
        <f t="shared" ref="AE14:AE34" si="5">((C14+Q14)*-1)+($B$4+$C$4)+($B$5+$C$5)</f>
        <v>976</v>
      </c>
      <c r="AF14" s="171"/>
      <c r="AG14" s="50">
        <f>-1*$C$3+$B$4+$C$4+$B$5+$C$5</f>
        <v>976</v>
      </c>
      <c r="AH14" s="50">
        <f>$C$3</f>
        <v>-712</v>
      </c>
    </row>
    <row r="15" spans="1:34">
      <c r="A15" s="171"/>
      <c r="B15" s="2">
        <v>0.95</v>
      </c>
      <c r="C15" s="142">
        <f t="shared" ref="C15:C34" si="6">$B$3*AC15</f>
        <v>-33.700000000000003</v>
      </c>
      <c r="D15" s="142">
        <f t="shared" ref="D15:D34" si="7">$B$4*-1</f>
        <v>-384</v>
      </c>
      <c r="E15" s="142">
        <f t="shared" ref="E15:E34" si="8">$B$5*-1</f>
        <v>120</v>
      </c>
      <c r="F15" s="142">
        <f t="shared" si="0"/>
        <v>925.39499999999987</v>
      </c>
      <c r="G15" s="142">
        <f t="shared" ref="G15:G34" si="9">C15+D15+E15+F15</f>
        <v>627.69499999999994</v>
      </c>
      <c r="H15" s="133">
        <f t="shared" si="1"/>
        <v>0.44999999999999996</v>
      </c>
      <c r="I15" s="145">
        <f t="shared" si="2"/>
        <v>110</v>
      </c>
      <c r="J15" s="145">
        <f t="shared" ref="J15:J34" si="10">I15*H15</f>
        <v>49.499999999999993</v>
      </c>
      <c r="K15" s="145">
        <f t="shared" ref="K15:K33" si="11">$C$7*J15</f>
        <v>19.249999999999996</v>
      </c>
      <c r="L15" s="135">
        <f t="shared" ref="L15:L34" si="12">IF(B15&gt;50%,Z15*-1,(J15-K15)/2)</f>
        <v>326.5625</v>
      </c>
      <c r="M15" s="127">
        <f t="shared" ref="M15:M34" si="13">L15*$C$7</f>
        <v>126.99652777777779</v>
      </c>
      <c r="N15" s="135">
        <f t="shared" si="3"/>
        <v>954.25749999999994</v>
      </c>
      <c r="O15" s="141">
        <f t="shared" ref="O15:O34" si="14">N15+$B$4+$B$5</f>
        <v>1218.2574999999999</v>
      </c>
      <c r="P15" s="135"/>
      <c r="Q15" s="138">
        <f t="shared" si="4"/>
        <v>-676.4</v>
      </c>
      <c r="R15" s="140">
        <f t="shared" ref="R15:R34" si="15">$C$4*-1</f>
        <v>0</v>
      </c>
      <c r="S15" s="138">
        <f t="shared" ref="S15:S34" si="16">$C$5*-1</f>
        <v>0</v>
      </c>
      <c r="T15" s="138">
        <f t="shared" ref="T15:T34" si="17">AC15*AE15</f>
        <v>48.704999999999998</v>
      </c>
      <c r="U15" s="142">
        <f t="shared" ref="U15:U34" si="18">Q15+R15+S15+T15</f>
        <v>-627.69499999999994</v>
      </c>
      <c r="V15" s="134">
        <f t="shared" ref="V15:V34" si="19">AC15-50%</f>
        <v>-0.45</v>
      </c>
      <c r="W15" s="145">
        <f t="shared" ref="W15:W34" si="20">$C$2-(AC15*$C$2)</f>
        <v>2375</v>
      </c>
      <c r="X15" s="145">
        <f t="shared" ref="X15:X34" si="21">W15*V15</f>
        <v>-1068.75</v>
      </c>
      <c r="Y15" s="145">
        <f t="shared" ref="Y15:Y34" si="22">$C$7*X15</f>
        <v>-415.625</v>
      </c>
      <c r="Z15" s="135">
        <f t="shared" ref="Z15:Z34" si="23">IF(AC15&gt;50%,L15*-1,(X15-Y15)/2)</f>
        <v>-326.5625</v>
      </c>
      <c r="AA15" s="135">
        <f t="shared" ref="AA15:AA34" si="24">U15+Z15</f>
        <v>-954.25749999999994</v>
      </c>
      <c r="AB15" s="141">
        <f t="shared" ref="AB15:AB34" si="25">AA15+$C$4+$C$5</f>
        <v>-954.25749999999994</v>
      </c>
      <c r="AC15" s="2">
        <v>0.05</v>
      </c>
      <c r="AD15" s="171"/>
      <c r="AE15" s="144">
        <f t="shared" si="5"/>
        <v>974.09999999999991</v>
      </c>
      <c r="AF15" s="171"/>
      <c r="AG15" s="50">
        <f t="shared" ref="AG15:AG23" si="26">-1*$C$3+$B$4+$C$4+$B$5+$C$5</f>
        <v>976</v>
      </c>
      <c r="AH15" s="50">
        <f t="shared" ref="AH15:AH23" si="27">$C$3</f>
        <v>-712</v>
      </c>
    </row>
    <row r="16" spans="1:34">
      <c r="A16" s="171"/>
      <c r="B16" s="2">
        <v>0.9</v>
      </c>
      <c r="C16" s="142">
        <f t="shared" si="6"/>
        <v>-67.400000000000006</v>
      </c>
      <c r="D16" s="142">
        <f t="shared" si="7"/>
        <v>-384</v>
      </c>
      <c r="E16" s="142">
        <f t="shared" si="8"/>
        <v>120</v>
      </c>
      <c r="F16" s="142">
        <f t="shared" si="0"/>
        <v>874.98</v>
      </c>
      <c r="G16" s="142">
        <f t="shared" si="9"/>
        <v>543.58000000000004</v>
      </c>
      <c r="H16" s="133">
        <f t="shared" si="1"/>
        <v>0.4</v>
      </c>
      <c r="I16" s="145">
        <f t="shared" si="2"/>
        <v>220</v>
      </c>
      <c r="J16" s="145">
        <f t="shared" si="10"/>
        <v>88</v>
      </c>
      <c r="K16" s="145">
        <f t="shared" si="11"/>
        <v>34.222222222222221</v>
      </c>
      <c r="L16" s="135">
        <f t="shared" si="12"/>
        <v>275</v>
      </c>
      <c r="M16" s="127">
        <f t="shared" si="13"/>
        <v>106.94444444444444</v>
      </c>
      <c r="N16" s="135">
        <f t="shared" si="3"/>
        <v>818.58</v>
      </c>
      <c r="O16" s="141">
        <f t="shared" si="14"/>
        <v>1082.58</v>
      </c>
      <c r="P16" s="135"/>
      <c r="Q16" s="138">
        <f t="shared" si="4"/>
        <v>-640.80000000000007</v>
      </c>
      <c r="R16" s="140">
        <f t="shared" si="15"/>
        <v>0</v>
      </c>
      <c r="S16" s="138">
        <f t="shared" si="16"/>
        <v>0</v>
      </c>
      <c r="T16" s="138">
        <f t="shared" si="17"/>
        <v>97.220000000000013</v>
      </c>
      <c r="U16" s="142">
        <f t="shared" si="18"/>
        <v>-543.58000000000004</v>
      </c>
      <c r="V16" s="134">
        <f t="shared" si="19"/>
        <v>-0.4</v>
      </c>
      <c r="W16" s="145">
        <f t="shared" si="20"/>
        <v>2250</v>
      </c>
      <c r="X16" s="145">
        <f t="shared" si="21"/>
        <v>-900</v>
      </c>
      <c r="Y16" s="145">
        <f t="shared" si="22"/>
        <v>-350</v>
      </c>
      <c r="Z16" s="135">
        <f t="shared" si="23"/>
        <v>-275</v>
      </c>
      <c r="AA16" s="135">
        <f t="shared" si="24"/>
        <v>-818.58</v>
      </c>
      <c r="AB16" s="141">
        <f t="shared" si="25"/>
        <v>-818.58</v>
      </c>
      <c r="AC16" s="2">
        <v>0.1</v>
      </c>
      <c r="AD16" s="171"/>
      <c r="AE16" s="144">
        <f t="shared" si="5"/>
        <v>972.2</v>
      </c>
      <c r="AF16" s="171"/>
      <c r="AG16" s="50">
        <f t="shared" si="26"/>
        <v>976</v>
      </c>
      <c r="AH16" s="50">
        <f t="shared" si="27"/>
        <v>-712</v>
      </c>
    </row>
    <row r="17" spans="2:34">
      <c r="B17" s="2">
        <v>0.85</v>
      </c>
      <c r="C17" s="142">
        <f t="shared" si="6"/>
        <v>-101.1</v>
      </c>
      <c r="D17" s="142">
        <f t="shared" si="7"/>
        <v>-384</v>
      </c>
      <c r="E17" s="142">
        <f t="shared" si="8"/>
        <v>120</v>
      </c>
      <c r="F17" s="142">
        <f t="shared" si="0"/>
        <v>824.755</v>
      </c>
      <c r="G17" s="142">
        <f t="shared" si="9"/>
        <v>459.65499999999997</v>
      </c>
      <c r="H17" s="133">
        <f t="shared" si="1"/>
        <v>0.35</v>
      </c>
      <c r="I17" s="145">
        <f t="shared" si="2"/>
        <v>330</v>
      </c>
      <c r="J17" s="145">
        <f t="shared" si="10"/>
        <v>115.49999999999999</v>
      </c>
      <c r="K17" s="145">
        <f t="shared" si="11"/>
        <v>44.916666666666664</v>
      </c>
      <c r="L17" s="135">
        <f t="shared" si="12"/>
        <v>227.25694444444443</v>
      </c>
      <c r="M17" s="127">
        <f t="shared" si="13"/>
        <v>88.377700617283949</v>
      </c>
      <c r="N17" s="135">
        <f t="shared" si="3"/>
        <v>686.91194444444443</v>
      </c>
      <c r="O17" s="141">
        <f t="shared" si="14"/>
        <v>950.91194444444454</v>
      </c>
      <c r="P17" s="135"/>
      <c r="Q17" s="138">
        <f t="shared" si="4"/>
        <v>-605.19999999999993</v>
      </c>
      <c r="R17" s="140">
        <f t="shared" si="15"/>
        <v>0</v>
      </c>
      <c r="S17" s="138">
        <f t="shared" si="16"/>
        <v>0</v>
      </c>
      <c r="T17" s="138">
        <f t="shared" si="17"/>
        <v>145.54499999999999</v>
      </c>
      <c r="U17" s="142">
        <f t="shared" si="18"/>
        <v>-459.65499999999997</v>
      </c>
      <c r="V17" s="134">
        <f t="shared" si="19"/>
        <v>-0.35</v>
      </c>
      <c r="W17" s="145">
        <f t="shared" si="20"/>
        <v>2125</v>
      </c>
      <c r="X17" s="145">
        <f t="shared" si="21"/>
        <v>-743.75</v>
      </c>
      <c r="Y17" s="145">
        <f t="shared" si="22"/>
        <v>-289.23611111111114</v>
      </c>
      <c r="Z17" s="135">
        <f t="shared" si="23"/>
        <v>-227.25694444444443</v>
      </c>
      <c r="AA17" s="135">
        <f t="shared" si="24"/>
        <v>-686.91194444444443</v>
      </c>
      <c r="AB17" s="141">
        <f t="shared" si="25"/>
        <v>-686.91194444444443</v>
      </c>
      <c r="AC17" s="2">
        <v>0.15</v>
      </c>
      <c r="AD17" s="171"/>
      <c r="AE17" s="144">
        <f t="shared" si="5"/>
        <v>970.3</v>
      </c>
      <c r="AF17" s="171"/>
      <c r="AG17" s="50">
        <f t="shared" si="26"/>
        <v>976</v>
      </c>
      <c r="AH17" s="50">
        <f t="shared" si="27"/>
        <v>-712</v>
      </c>
    </row>
    <row r="18" spans="2:34">
      <c r="B18" s="2">
        <v>0.8</v>
      </c>
      <c r="C18" s="142">
        <f t="shared" si="6"/>
        <v>-134.80000000000001</v>
      </c>
      <c r="D18" s="142">
        <f t="shared" si="7"/>
        <v>-384</v>
      </c>
      <c r="E18" s="142">
        <f t="shared" si="8"/>
        <v>120</v>
      </c>
      <c r="F18" s="142">
        <f t="shared" si="0"/>
        <v>774.72000000000014</v>
      </c>
      <c r="G18" s="142">
        <f t="shared" si="9"/>
        <v>375.92000000000019</v>
      </c>
      <c r="H18" s="133">
        <f t="shared" si="1"/>
        <v>0.30000000000000004</v>
      </c>
      <c r="I18" s="145">
        <f t="shared" si="2"/>
        <v>440</v>
      </c>
      <c r="J18" s="145">
        <f t="shared" si="10"/>
        <v>132.00000000000003</v>
      </c>
      <c r="K18" s="145">
        <f t="shared" si="11"/>
        <v>51.333333333333343</v>
      </c>
      <c r="L18" s="135">
        <f t="shared" si="12"/>
        <v>183.33333333333331</v>
      </c>
      <c r="M18" s="127">
        <f t="shared" si="13"/>
        <v>71.296296296296291</v>
      </c>
      <c r="N18" s="135">
        <f t="shared" si="3"/>
        <v>559.25333333333356</v>
      </c>
      <c r="O18" s="141">
        <f t="shared" si="14"/>
        <v>823.25333333333356</v>
      </c>
      <c r="P18" s="135"/>
      <c r="Q18" s="138">
        <f t="shared" si="4"/>
        <v>-569.6</v>
      </c>
      <c r="R18" s="140">
        <f t="shared" si="15"/>
        <v>0</v>
      </c>
      <c r="S18" s="138">
        <f t="shared" si="16"/>
        <v>0</v>
      </c>
      <c r="T18" s="138">
        <f t="shared" si="17"/>
        <v>193.68000000000004</v>
      </c>
      <c r="U18" s="142">
        <f t="shared" si="18"/>
        <v>-375.91999999999996</v>
      </c>
      <c r="V18" s="134">
        <f t="shared" si="19"/>
        <v>-0.3</v>
      </c>
      <c r="W18" s="145">
        <f t="shared" si="20"/>
        <v>2000</v>
      </c>
      <c r="X18" s="145">
        <f t="shared" si="21"/>
        <v>-600</v>
      </c>
      <c r="Y18" s="145">
        <f t="shared" si="22"/>
        <v>-233.33333333333334</v>
      </c>
      <c r="Z18" s="135">
        <f t="shared" si="23"/>
        <v>-183.33333333333331</v>
      </c>
      <c r="AA18" s="135">
        <f t="shared" si="24"/>
        <v>-559.25333333333333</v>
      </c>
      <c r="AB18" s="141">
        <f t="shared" si="25"/>
        <v>-559.25333333333333</v>
      </c>
      <c r="AC18" s="2">
        <v>0.2</v>
      </c>
      <c r="AD18" s="171"/>
      <c r="AE18" s="144">
        <f t="shared" si="5"/>
        <v>968.40000000000009</v>
      </c>
      <c r="AF18" s="171"/>
      <c r="AG18" s="50">
        <f t="shared" si="26"/>
        <v>976</v>
      </c>
      <c r="AH18" s="50">
        <f t="shared" si="27"/>
        <v>-712</v>
      </c>
    </row>
    <row r="19" spans="2:34">
      <c r="B19" s="2">
        <v>0.75</v>
      </c>
      <c r="C19" s="142">
        <f t="shared" si="6"/>
        <v>-168.5</v>
      </c>
      <c r="D19" s="142">
        <f t="shared" si="7"/>
        <v>-384</v>
      </c>
      <c r="E19" s="142">
        <f t="shared" si="8"/>
        <v>120</v>
      </c>
      <c r="F19" s="142">
        <f t="shared" si="0"/>
        <v>724.875</v>
      </c>
      <c r="G19" s="142">
        <f t="shared" si="9"/>
        <v>292.375</v>
      </c>
      <c r="H19" s="133">
        <f t="shared" si="1"/>
        <v>0.25</v>
      </c>
      <c r="I19" s="145">
        <f t="shared" si="2"/>
        <v>550</v>
      </c>
      <c r="J19" s="145">
        <f t="shared" si="10"/>
        <v>137.5</v>
      </c>
      <c r="K19" s="145">
        <f t="shared" si="11"/>
        <v>53.472222222222221</v>
      </c>
      <c r="L19" s="135">
        <f t="shared" si="12"/>
        <v>143.22916666666669</v>
      </c>
      <c r="M19" s="127">
        <f t="shared" si="13"/>
        <v>55.700231481481488</v>
      </c>
      <c r="N19" s="135">
        <f t="shared" si="3"/>
        <v>435.60416666666669</v>
      </c>
      <c r="O19" s="141">
        <f t="shared" si="14"/>
        <v>699.60416666666674</v>
      </c>
      <c r="P19" s="135"/>
      <c r="Q19" s="138">
        <f t="shared" si="4"/>
        <v>-534</v>
      </c>
      <c r="R19" s="140">
        <f t="shared" si="15"/>
        <v>0</v>
      </c>
      <c r="S19" s="138">
        <f t="shared" si="16"/>
        <v>0</v>
      </c>
      <c r="T19" s="138">
        <f t="shared" si="17"/>
        <v>241.625</v>
      </c>
      <c r="U19" s="142">
        <f t="shared" si="18"/>
        <v>-292.375</v>
      </c>
      <c r="V19" s="134">
        <f t="shared" si="19"/>
        <v>-0.25</v>
      </c>
      <c r="W19" s="145">
        <f t="shared" si="20"/>
        <v>1875</v>
      </c>
      <c r="X19" s="145">
        <f t="shared" si="21"/>
        <v>-468.75</v>
      </c>
      <c r="Y19" s="145">
        <f t="shared" si="22"/>
        <v>-182.29166666666666</v>
      </c>
      <c r="Z19" s="135">
        <f t="shared" si="23"/>
        <v>-143.22916666666669</v>
      </c>
      <c r="AA19" s="135">
        <f t="shared" si="24"/>
        <v>-435.60416666666669</v>
      </c>
      <c r="AB19" s="141">
        <f t="shared" si="25"/>
        <v>-435.60416666666669</v>
      </c>
      <c r="AC19" s="2">
        <v>0.25</v>
      </c>
      <c r="AD19" s="171"/>
      <c r="AE19" s="144">
        <f t="shared" si="5"/>
        <v>966.5</v>
      </c>
      <c r="AF19" s="171"/>
      <c r="AG19" s="50">
        <f t="shared" si="26"/>
        <v>976</v>
      </c>
      <c r="AH19" s="50">
        <f t="shared" si="27"/>
        <v>-712</v>
      </c>
    </row>
    <row r="20" spans="2:34">
      <c r="B20" s="2">
        <v>0.7</v>
      </c>
      <c r="C20" s="142">
        <f t="shared" si="6"/>
        <v>-202.2</v>
      </c>
      <c r="D20" s="142">
        <f t="shared" si="7"/>
        <v>-384</v>
      </c>
      <c r="E20" s="142">
        <f t="shared" si="8"/>
        <v>120</v>
      </c>
      <c r="F20" s="142">
        <f t="shared" si="0"/>
        <v>675.21999999999991</v>
      </c>
      <c r="G20" s="142">
        <f t="shared" si="9"/>
        <v>209.01999999999987</v>
      </c>
      <c r="H20" s="133">
        <f t="shared" si="1"/>
        <v>0.19999999999999996</v>
      </c>
      <c r="I20" s="145">
        <f t="shared" si="2"/>
        <v>660</v>
      </c>
      <c r="J20" s="145">
        <f t="shared" si="10"/>
        <v>131.99999999999997</v>
      </c>
      <c r="K20" s="145">
        <f t="shared" si="11"/>
        <v>51.333333333333321</v>
      </c>
      <c r="L20" s="135">
        <f t="shared" si="12"/>
        <v>106.94444444444444</v>
      </c>
      <c r="M20" s="127">
        <f t="shared" si="13"/>
        <v>41.589506172839506</v>
      </c>
      <c r="N20" s="135">
        <f t="shared" si="3"/>
        <v>315.96444444444433</v>
      </c>
      <c r="O20" s="141">
        <f t="shared" si="14"/>
        <v>579.96444444444433</v>
      </c>
      <c r="P20" s="135"/>
      <c r="Q20" s="138">
        <f t="shared" si="4"/>
        <v>-498.4</v>
      </c>
      <c r="R20" s="140">
        <f t="shared" si="15"/>
        <v>0</v>
      </c>
      <c r="S20" s="138">
        <f t="shared" si="16"/>
        <v>0</v>
      </c>
      <c r="T20" s="138">
        <f t="shared" si="17"/>
        <v>289.37999999999994</v>
      </c>
      <c r="U20" s="142">
        <f t="shared" si="18"/>
        <v>-209.02000000000004</v>
      </c>
      <c r="V20" s="134">
        <f t="shared" si="19"/>
        <v>-0.2</v>
      </c>
      <c r="W20" s="145">
        <f t="shared" si="20"/>
        <v>1750</v>
      </c>
      <c r="X20" s="145">
        <f t="shared" si="21"/>
        <v>-350</v>
      </c>
      <c r="Y20" s="145">
        <f t="shared" si="22"/>
        <v>-136.11111111111111</v>
      </c>
      <c r="Z20" s="135">
        <f t="shared" si="23"/>
        <v>-106.94444444444444</v>
      </c>
      <c r="AA20" s="135">
        <f t="shared" si="24"/>
        <v>-315.9644444444445</v>
      </c>
      <c r="AB20" s="141">
        <f t="shared" si="25"/>
        <v>-315.9644444444445</v>
      </c>
      <c r="AC20" s="2">
        <v>0.3</v>
      </c>
      <c r="AD20" s="171"/>
      <c r="AE20" s="144">
        <f t="shared" si="5"/>
        <v>964.59999999999991</v>
      </c>
      <c r="AF20" s="171"/>
      <c r="AG20" s="50">
        <f t="shared" si="26"/>
        <v>976</v>
      </c>
      <c r="AH20" s="50">
        <f t="shared" si="27"/>
        <v>-712</v>
      </c>
    </row>
    <row r="21" spans="2:34">
      <c r="B21" s="2">
        <v>0.65</v>
      </c>
      <c r="C21" s="142">
        <f t="shared" si="6"/>
        <v>-235.89999999999998</v>
      </c>
      <c r="D21" s="142">
        <f t="shared" si="7"/>
        <v>-384</v>
      </c>
      <c r="E21" s="142">
        <f t="shared" si="8"/>
        <v>120</v>
      </c>
      <c r="F21" s="142">
        <f t="shared" si="0"/>
        <v>625.755</v>
      </c>
      <c r="G21" s="142">
        <f t="shared" si="9"/>
        <v>125.85500000000002</v>
      </c>
      <c r="H21" s="133">
        <f t="shared" si="1"/>
        <v>0.15000000000000002</v>
      </c>
      <c r="I21" s="145">
        <f t="shared" si="2"/>
        <v>770</v>
      </c>
      <c r="J21" s="145">
        <f t="shared" si="10"/>
        <v>115.50000000000001</v>
      </c>
      <c r="K21" s="145">
        <f t="shared" si="11"/>
        <v>44.916666666666671</v>
      </c>
      <c r="L21" s="135">
        <f t="shared" si="12"/>
        <v>74.479166666666671</v>
      </c>
      <c r="M21" s="127">
        <f t="shared" si="13"/>
        <v>28.964120370370374</v>
      </c>
      <c r="N21" s="135">
        <f t="shared" si="3"/>
        <v>200.3341666666667</v>
      </c>
      <c r="O21" s="141">
        <f t="shared" si="14"/>
        <v>464.33416666666676</v>
      </c>
      <c r="P21" s="135"/>
      <c r="Q21" s="138">
        <f t="shared" si="4"/>
        <v>-462.8</v>
      </c>
      <c r="R21" s="140">
        <f t="shared" si="15"/>
        <v>0</v>
      </c>
      <c r="S21" s="138">
        <f t="shared" si="16"/>
        <v>0</v>
      </c>
      <c r="T21" s="138">
        <f t="shared" si="17"/>
        <v>336.94499999999999</v>
      </c>
      <c r="U21" s="142">
        <f t="shared" si="18"/>
        <v>-125.85500000000002</v>
      </c>
      <c r="V21" s="134">
        <f t="shared" si="19"/>
        <v>-0.15000000000000002</v>
      </c>
      <c r="W21" s="145">
        <f t="shared" si="20"/>
        <v>1625</v>
      </c>
      <c r="X21" s="145">
        <f t="shared" si="21"/>
        <v>-243.75000000000003</v>
      </c>
      <c r="Y21" s="145">
        <f t="shared" si="22"/>
        <v>-94.791666666666686</v>
      </c>
      <c r="Z21" s="135">
        <f t="shared" si="23"/>
        <v>-74.479166666666671</v>
      </c>
      <c r="AA21" s="135">
        <f t="shared" si="24"/>
        <v>-200.3341666666667</v>
      </c>
      <c r="AB21" s="141">
        <f t="shared" si="25"/>
        <v>-200.3341666666667</v>
      </c>
      <c r="AC21" s="2">
        <v>0.35</v>
      </c>
      <c r="AD21" s="171"/>
      <c r="AE21" s="144">
        <f t="shared" si="5"/>
        <v>962.7</v>
      </c>
      <c r="AF21" s="171"/>
      <c r="AG21" s="50">
        <f t="shared" si="26"/>
        <v>976</v>
      </c>
      <c r="AH21" s="50">
        <f t="shared" si="27"/>
        <v>-712</v>
      </c>
    </row>
    <row r="22" spans="2:34">
      <c r="B22" s="2">
        <v>0.6</v>
      </c>
      <c r="C22" s="142">
        <f t="shared" si="6"/>
        <v>-269.60000000000002</v>
      </c>
      <c r="D22" s="142">
        <f t="shared" si="7"/>
        <v>-384</v>
      </c>
      <c r="E22" s="142">
        <f t="shared" si="8"/>
        <v>120</v>
      </c>
      <c r="F22" s="142">
        <f t="shared" si="0"/>
        <v>576.4799999999999</v>
      </c>
      <c r="G22" s="142">
        <f t="shared" si="9"/>
        <v>42.879999999999882</v>
      </c>
      <c r="H22" s="133">
        <f t="shared" si="1"/>
        <v>9.9999999999999978E-2</v>
      </c>
      <c r="I22" s="145">
        <f t="shared" si="2"/>
        <v>880</v>
      </c>
      <c r="J22" s="145">
        <f t="shared" si="10"/>
        <v>87.999999999999986</v>
      </c>
      <c r="K22" s="145">
        <f t="shared" si="11"/>
        <v>34.222222222222214</v>
      </c>
      <c r="L22" s="135">
        <f t="shared" si="12"/>
        <v>45.833333333333329</v>
      </c>
      <c r="M22" s="127">
        <f t="shared" si="13"/>
        <v>17.824074074074073</v>
      </c>
      <c r="N22" s="135">
        <f t="shared" si="3"/>
        <v>88.71333333333321</v>
      </c>
      <c r="O22" s="141">
        <f t="shared" si="14"/>
        <v>352.7133333333332</v>
      </c>
      <c r="P22" s="135"/>
      <c r="Q22" s="138">
        <f t="shared" si="4"/>
        <v>-427.2</v>
      </c>
      <c r="R22" s="140">
        <f t="shared" si="15"/>
        <v>0</v>
      </c>
      <c r="S22" s="138">
        <f t="shared" si="16"/>
        <v>0</v>
      </c>
      <c r="T22" s="138">
        <f t="shared" si="17"/>
        <v>384.32</v>
      </c>
      <c r="U22" s="142">
        <f t="shared" si="18"/>
        <v>-42.879999999999995</v>
      </c>
      <c r="V22" s="134">
        <f t="shared" si="19"/>
        <v>-9.9999999999999978E-2</v>
      </c>
      <c r="W22" s="145">
        <f t="shared" si="20"/>
        <v>1500</v>
      </c>
      <c r="X22" s="145">
        <f t="shared" si="21"/>
        <v>-149.99999999999997</v>
      </c>
      <c r="Y22" s="145">
        <f t="shared" si="22"/>
        <v>-58.333333333333321</v>
      </c>
      <c r="Z22" s="135">
        <f t="shared" si="23"/>
        <v>-45.833333333333329</v>
      </c>
      <c r="AA22" s="135">
        <f t="shared" si="24"/>
        <v>-88.713333333333324</v>
      </c>
      <c r="AB22" s="141">
        <f t="shared" si="25"/>
        <v>-88.713333333333324</v>
      </c>
      <c r="AC22" s="2">
        <v>0.4</v>
      </c>
      <c r="AD22" s="171"/>
      <c r="AE22" s="144">
        <f t="shared" si="5"/>
        <v>960.8</v>
      </c>
      <c r="AF22" s="171"/>
      <c r="AG22" s="50">
        <f t="shared" si="26"/>
        <v>976</v>
      </c>
      <c r="AH22" s="50">
        <f t="shared" si="27"/>
        <v>-712</v>
      </c>
    </row>
    <row r="23" spans="2:34">
      <c r="B23" s="2">
        <v>0.55000000000000004</v>
      </c>
      <c r="C23" s="142">
        <f t="shared" si="6"/>
        <v>-303.3</v>
      </c>
      <c r="D23" s="142">
        <f t="shared" si="7"/>
        <v>-384</v>
      </c>
      <c r="E23" s="142">
        <f t="shared" si="8"/>
        <v>120</v>
      </c>
      <c r="F23" s="142">
        <f t="shared" si="0"/>
        <v>527.3950000000001</v>
      </c>
      <c r="G23" s="142">
        <f t="shared" si="9"/>
        <v>-39.904999999999859</v>
      </c>
      <c r="H23" s="133">
        <f t="shared" si="1"/>
        <v>5.0000000000000044E-2</v>
      </c>
      <c r="I23" s="145">
        <f t="shared" si="2"/>
        <v>990</v>
      </c>
      <c r="J23" s="145">
        <f t="shared" si="10"/>
        <v>49.500000000000043</v>
      </c>
      <c r="K23" s="145">
        <f t="shared" si="11"/>
        <v>19.250000000000018</v>
      </c>
      <c r="L23" s="135">
        <f t="shared" si="12"/>
        <v>21.006944444444439</v>
      </c>
      <c r="M23" s="127">
        <f t="shared" si="13"/>
        <v>8.1693672839506153</v>
      </c>
      <c r="N23" s="135">
        <f t="shared" si="3"/>
        <v>-18.89805555555542</v>
      </c>
      <c r="O23" s="141">
        <f t="shared" si="14"/>
        <v>245.1019444444446</v>
      </c>
      <c r="P23" s="135"/>
      <c r="Q23" s="138">
        <f t="shared" si="4"/>
        <v>-391.6</v>
      </c>
      <c r="R23" s="140">
        <f t="shared" si="15"/>
        <v>0</v>
      </c>
      <c r="S23" s="138">
        <f t="shared" si="16"/>
        <v>0</v>
      </c>
      <c r="T23" s="138">
        <f t="shared" si="17"/>
        <v>431.50500000000005</v>
      </c>
      <c r="U23" s="142">
        <f t="shared" si="18"/>
        <v>39.90500000000003</v>
      </c>
      <c r="V23" s="134">
        <f t="shared" si="19"/>
        <v>-4.9999999999999989E-2</v>
      </c>
      <c r="W23" s="145">
        <f t="shared" si="20"/>
        <v>1375</v>
      </c>
      <c r="X23" s="145">
        <f t="shared" si="21"/>
        <v>-68.749999999999986</v>
      </c>
      <c r="Y23" s="145">
        <f t="shared" si="22"/>
        <v>-26.736111111111107</v>
      </c>
      <c r="Z23" s="135">
        <f t="shared" si="23"/>
        <v>-21.006944444444439</v>
      </c>
      <c r="AA23" s="135">
        <f t="shared" si="24"/>
        <v>18.89805555555559</v>
      </c>
      <c r="AB23" s="141">
        <f t="shared" si="25"/>
        <v>18.89805555555559</v>
      </c>
      <c r="AC23" s="2">
        <v>0.45</v>
      </c>
      <c r="AD23" s="171"/>
      <c r="AE23" s="144">
        <f t="shared" si="5"/>
        <v>958.90000000000009</v>
      </c>
      <c r="AF23" s="171"/>
      <c r="AG23" s="50">
        <f t="shared" si="26"/>
        <v>976</v>
      </c>
      <c r="AH23" s="50">
        <f t="shared" si="27"/>
        <v>-712</v>
      </c>
    </row>
    <row r="24" spans="2:34">
      <c r="B24" s="2">
        <v>0.5</v>
      </c>
      <c r="C24" s="142">
        <f t="shared" si="6"/>
        <v>-337</v>
      </c>
      <c r="D24" s="142">
        <f t="shared" si="7"/>
        <v>-384</v>
      </c>
      <c r="E24" s="142">
        <f t="shared" si="8"/>
        <v>120</v>
      </c>
      <c r="F24" s="142">
        <f t="shared" si="0"/>
        <v>478.5</v>
      </c>
      <c r="G24" s="142">
        <f t="shared" si="9"/>
        <v>-122.5</v>
      </c>
      <c r="H24" s="133">
        <f t="shared" si="1"/>
        <v>0</v>
      </c>
      <c r="I24" s="145">
        <f t="shared" si="2"/>
        <v>1100</v>
      </c>
      <c r="J24" s="145">
        <f t="shared" si="10"/>
        <v>0</v>
      </c>
      <c r="K24" s="145">
        <f t="shared" si="11"/>
        <v>0</v>
      </c>
      <c r="L24" s="135">
        <f t="shared" si="12"/>
        <v>0</v>
      </c>
      <c r="M24" s="127">
        <f t="shared" si="13"/>
        <v>0</v>
      </c>
      <c r="N24" s="135">
        <f t="shared" si="3"/>
        <v>-122.5</v>
      </c>
      <c r="O24" s="141">
        <f t="shared" si="14"/>
        <v>141.5</v>
      </c>
      <c r="P24" s="135"/>
      <c r="Q24" s="138">
        <f t="shared" si="4"/>
        <v>-356</v>
      </c>
      <c r="R24" s="140">
        <f t="shared" si="15"/>
        <v>0</v>
      </c>
      <c r="S24" s="138">
        <f t="shared" si="16"/>
        <v>0</v>
      </c>
      <c r="T24" s="138">
        <f t="shared" si="17"/>
        <v>478.5</v>
      </c>
      <c r="U24" s="142">
        <f t="shared" si="18"/>
        <v>122.5</v>
      </c>
      <c r="V24" s="134">
        <f t="shared" si="19"/>
        <v>0</v>
      </c>
      <c r="W24" s="145">
        <f t="shared" si="20"/>
        <v>1250</v>
      </c>
      <c r="X24" s="145">
        <f t="shared" si="21"/>
        <v>0</v>
      </c>
      <c r="Y24" s="145">
        <f t="shared" si="22"/>
        <v>0</v>
      </c>
      <c r="Z24" s="135">
        <f t="shared" si="23"/>
        <v>0</v>
      </c>
      <c r="AA24" s="135">
        <f t="shared" si="24"/>
        <v>122.5</v>
      </c>
      <c r="AB24" s="141">
        <f t="shared" si="25"/>
        <v>122.5</v>
      </c>
      <c r="AC24" s="2">
        <v>0.5</v>
      </c>
      <c r="AD24" s="171"/>
      <c r="AE24" s="144">
        <f t="shared" si="5"/>
        <v>957</v>
      </c>
      <c r="AF24" s="171"/>
      <c r="AG24" s="50">
        <f>((B4+C4)/2)+((B5+C5)/2)</f>
        <v>132</v>
      </c>
      <c r="AH24" s="171">
        <f>((B4+C4)/2)+((B5+C5)/2)</f>
        <v>132</v>
      </c>
    </row>
    <row r="25" spans="2:34">
      <c r="B25" s="2">
        <v>0.45</v>
      </c>
      <c r="C25" s="142">
        <f t="shared" si="6"/>
        <v>-370.70000000000005</v>
      </c>
      <c r="D25" s="142">
        <f t="shared" si="7"/>
        <v>-384</v>
      </c>
      <c r="E25" s="142">
        <f t="shared" si="8"/>
        <v>120</v>
      </c>
      <c r="F25" s="142">
        <f t="shared" si="0"/>
        <v>429.79500000000007</v>
      </c>
      <c r="G25" s="142">
        <f t="shared" si="9"/>
        <v>-204.90499999999997</v>
      </c>
      <c r="H25" s="133">
        <f t="shared" si="1"/>
        <v>-4.9999999999999989E-2</v>
      </c>
      <c r="I25" s="145">
        <f t="shared" si="2"/>
        <v>1210</v>
      </c>
      <c r="J25" s="145">
        <f t="shared" si="10"/>
        <v>-60.499999999999986</v>
      </c>
      <c r="K25" s="145">
        <f t="shared" si="11"/>
        <v>-23.527777777777771</v>
      </c>
      <c r="L25" s="135">
        <f t="shared" si="12"/>
        <v>-18.486111111111107</v>
      </c>
      <c r="M25" s="127">
        <f t="shared" si="13"/>
        <v>-7.1890432098765418</v>
      </c>
      <c r="N25" s="135">
        <f t="shared" si="3"/>
        <v>-223.39111111111109</v>
      </c>
      <c r="O25" s="141">
        <f t="shared" si="14"/>
        <v>40.608888888888913</v>
      </c>
      <c r="P25" s="135"/>
      <c r="Q25" s="138">
        <f t="shared" si="4"/>
        <v>-320.40000000000003</v>
      </c>
      <c r="R25" s="140">
        <f t="shared" si="15"/>
        <v>0</v>
      </c>
      <c r="S25" s="138">
        <f t="shared" si="16"/>
        <v>0</v>
      </c>
      <c r="T25" s="138">
        <f t="shared" si="17"/>
        <v>525.30500000000006</v>
      </c>
      <c r="U25" s="142">
        <f t="shared" si="18"/>
        <v>204.90500000000003</v>
      </c>
      <c r="V25" s="134">
        <f t="shared" si="19"/>
        <v>5.0000000000000044E-2</v>
      </c>
      <c r="W25" s="145">
        <f t="shared" si="20"/>
        <v>1125</v>
      </c>
      <c r="X25" s="145">
        <f t="shared" si="21"/>
        <v>56.25000000000005</v>
      </c>
      <c r="Y25" s="145">
        <f t="shared" si="22"/>
        <v>21.875000000000021</v>
      </c>
      <c r="Z25" s="135">
        <f t="shared" si="23"/>
        <v>18.486111111111107</v>
      </c>
      <c r="AA25" s="135">
        <f t="shared" si="24"/>
        <v>223.39111111111114</v>
      </c>
      <c r="AB25" s="141">
        <f t="shared" si="25"/>
        <v>223.39111111111114</v>
      </c>
      <c r="AC25" s="2">
        <v>0.55000000000000004</v>
      </c>
      <c r="AD25" s="171"/>
      <c r="AE25" s="144">
        <f t="shared" si="5"/>
        <v>955.10000000000014</v>
      </c>
      <c r="AF25" s="171"/>
      <c r="AG25" s="50">
        <f>$B$3</f>
        <v>-674</v>
      </c>
      <c r="AH25" s="50">
        <f>$B$3*-1+$B$4+$C$4+$B$5+$C$5</f>
        <v>938</v>
      </c>
    </row>
    <row r="26" spans="2:34">
      <c r="B26" s="2">
        <v>0.4</v>
      </c>
      <c r="C26" s="142">
        <f t="shared" si="6"/>
        <v>-404.4</v>
      </c>
      <c r="D26" s="142">
        <f t="shared" si="7"/>
        <v>-384</v>
      </c>
      <c r="E26" s="142">
        <f t="shared" si="8"/>
        <v>120</v>
      </c>
      <c r="F26" s="142">
        <f t="shared" si="0"/>
        <v>381.28000000000003</v>
      </c>
      <c r="G26" s="142">
        <f t="shared" si="9"/>
        <v>-287.11999999999995</v>
      </c>
      <c r="H26" s="133">
        <f t="shared" si="1"/>
        <v>-9.9999999999999978E-2</v>
      </c>
      <c r="I26" s="145">
        <f t="shared" si="2"/>
        <v>1320</v>
      </c>
      <c r="J26" s="145">
        <f t="shared" si="10"/>
        <v>-131.99999999999997</v>
      </c>
      <c r="K26" s="145">
        <f t="shared" si="11"/>
        <v>-51.333333333333321</v>
      </c>
      <c r="L26" s="135">
        <f t="shared" si="12"/>
        <v>-40.333333333333329</v>
      </c>
      <c r="M26" s="127">
        <f t="shared" si="13"/>
        <v>-15.685185185185183</v>
      </c>
      <c r="N26" s="135">
        <f t="shared" si="3"/>
        <v>-327.45333333333326</v>
      </c>
      <c r="O26" s="141">
        <f t="shared" si="14"/>
        <v>-63.453333333333262</v>
      </c>
      <c r="P26" s="135"/>
      <c r="Q26" s="138">
        <f t="shared" si="4"/>
        <v>-284.8</v>
      </c>
      <c r="R26" s="140">
        <f t="shared" si="15"/>
        <v>0</v>
      </c>
      <c r="S26" s="138">
        <f t="shared" si="16"/>
        <v>0</v>
      </c>
      <c r="T26" s="138">
        <f t="shared" si="17"/>
        <v>571.91999999999996</v>
      </c>
      <c r="U26" s="142">
        <f t="shared" si="18"/>
        <v>287.11999999999995</v>
      </c>
      <c r="V26" s="134">
        <f t="shared" si="19"/>
        <v>9.9999999999999978E-2</v>
      </c>
      <c r="W26" s="145">
        <f t="shared" si="20"/>
        <v>1000</v>
      </c>
      <c r="X26" s="145">
        <f t="shared" si="21"/>
        <v>99.999999999999972</v>
      </c>
      <c r="Y26" s="145">
        <f t="shared" si="22"/>
        <v>38.888888888888879</v>
      </c>
      <c r="Z26" s="135">
        <f t="shared" si="23"/>
        <v>40.333333333333329</v>
      </c>
      <c r="AA26" s="135">
        <f t="shared" si="24"/>
        <v>327.45333333333326</v>
      </c>
      <c r="AB26" s="141">
        <f t="shared" si="25"/>
        <v>327.45333333333326</v>
      </c>
      <c r="AC26" s="2">
        <v>0.6</v>
      </c>
      <c r="AD26" s="171"/>
      <c r="AE26" s="144">
        <f t="shared" si="5"/>
        <v>953.2</v>
      </c>
      <c r="AF26" s="171"/>
      <c r="AG26" s="50">
        <f t="shared" ref="AG26:AG34" si="28">$B$3</f>
        <v>-674</v>
      </c>
      <c r="AH26" s="50">
        <f t="shared" ref="AH26:AH34" si="29">$B$3*-1+$B$4+$C$4+$B$5+$C$5</f>
        <v>938</v>
      </c>
    </row>
    <row r="27" spans="2:34">
      <c r="B27" s="2">
        <v>0.35</v>
      </c>
      <c r="C27" s="142">
        <f t="shared" si="6"/>
        <v>-438.1</v>
      </c>
      <c r="D27" s="142">
        <f t="shared" si="7"/>
        <v>-384</v>
      </c>
      <c r="E27" s="142">
        <f t="shared" si="8"/>
        <v>120</v>
      </c>
      <c r="F27" s="142">
        <f t="shared" si="0"/>
        <v>332.95499999999998</v>
      </c>
      <c r="G27" s="142">
        <f t="shared" si="9"/>
        <v>-369.14500000000004</v>
      </c>
      <c r="H27" s="133">
        <f t="shared" si="1"/>
        <v>-0.15000000000000002</v>
      </c>
      <c r="I27" s="145">
        <f t="shared" si="2"/>
        <v>1430</v>
      </c>
      <c r="J27" s="145">
        <f t="shared" si="10"/>
        <v>-214.50000000000003</v>
      </c>
      <c r="K27" s="145">
        <f t="shared" si="11"/>
        <v>-83.416666666666686</v>
      </c>
      <c r="L27" s="135">
        <f t="shared" si="12"/>
        <v>-65.541666666666671</v>
      </c>
      <c r="M27" s="127">
        <f t="shared" si="13"/>
        <v>-25.488425925925927</v>
      </c>
      <c r="N27" s="135">
        <f t="shared" si="3"/>
        <v>-434.68666666666672</v>
      </c>
      <c r="O27" s="141">
        <f t="shared" si="14"/>
        <v>-170.68666666666672</v>
      </c>
      <c r="P27" s="135"/>
      <c r="Q27" s="138">
        <f t="shared" si="4"/>
        <v>-249.2</v>
      </c>
      <c r="R27" s="140">
        <f t="shared" si="15"/>
        <v>0</v>
      </c>
      <c r="S27" s="138">
        <f t="shared" si="16"/>
        <v>0</v>
      </c>
      <c r="T27" s="138">
        <f t="shared" si="17"/>
        <v>618.34500000000003</v>
      </c>
      <c r="U27" s="142">
        <f t="shared" si="18"/>
        <v>369.14500000000004</v>
      </c>
      <c r="V27" s="134">
        <f t="shared" si="19"/>
        <v>0.15000000000000002</v>
      </c>
      <c r="W27" s="145">
        <f t="shared" si="20"/>
        <v>875</v>
      </c>
      <c r="X27" s="145">
        <f t="shared" si="21"/>
        <v>131.25000000000003</v>
      </c>
      <c r="Y27" s="145">
        <f t="shared" si="22"/>
        <v>51.041666666666679</v>
      </c>
      <c r="Z27" s="135">
        <f t="shared" si="23"/>
        <v>65.541666666666671</v>
      </c>
      <c r="AA27" s="135">
        <f t="shared" si="24"/>
        <v>434.68666666666672</v>
      </c>
      <c r="AB27" s="141">
        <f t="shared" si="25"/>
        <v>434.68666666666672</v>
      </c>
      <c r="AC27" s="2">
        <v>0.65</v>
      </c>
      <c r="AD27" s="171"/>
      <c r="AE27" s="144">
        <f t="shared" si="5"/>
        <v>951.3</v>
      </c>
      <c r="AF27" s="171"/>
      <c r="AG27" s="50">
        <f t="shared" si="28"/>
        <v>-674</v>
      </c>
      <c r="AH27" s="50">
        <f t="shared" si="29"/>
        <v>938</v>
      </c>
    </row>
    <row r="28" spans="2:34">
      <c r="B28" s="2">
        <v>0.3</v>
      </c>
      <c r="C28" s="142">
        <f t="shared" si="6"/>
        <v>-471.79999999999995</v>
      </c>
      <c r="D28" s="142">
        <f t="shared" si="7"/>
        <v>-384</v>
      </c>
      <c r="E28" s="142">
        <f t="shared" si="8"/>
        <v>120</v>
      </c>
      <c r="F28" s="142">
        <f t="shared" si="0"/>
        <v>284.82</v>
      </c>
      <c r="G28" s="142">
        <f t="shared" si="9"/>
        <v>-450.97999999999996</v>
      </c>
      <c r="H28" s="133">
        <f t="shared" si="1"/>
        <v>-0.2</v>
      </c>
      <c r="I28" s="145">
        <f t="shared" si="2"/>
        <v>1540</v>
      </c>
      <c r="J28" s="145">
        <f t="shared" si="10"/>
        <v>-308</v>
      </c>
      <c r="K28" s="145">
        <f t="shared" si="11"/>
        <v>-119.77777777777779</v>
      </c>
      <c r="L28" s="135">
        <f t="shared" si="12"/>
        <v>-94.111111111111114</v>
      </c>
      <c r="M28" s="127">
        <f t="shared" si="13"/>
        <v>-36.598765432098766</v>
      </c>
      <c r="N28" s="135">
        <f t="shared" si="3"/>
        <v>-545.0911111111111</v>
      </c>
      <c r="O28" s="141">
        <f t="shared" si="14"/>
        <v>-281.0911111111111</v>
      </c>
      <c r="P28" s="135"/>
      <c r="Q28" s="138">
        <f t="shared" si="4"/>
        <v>-213.6</v>
      </c>
      <c r="R28" s="140">
        <f t="shared" si="15"/>
        <v>0</v>
      </c>
      <c r="S28" s="138">
        <f t="shared" si="16"/>
        <v>0</v>
      </c>
      <c r="T28" s="138">
        <f t="shared" si="17"/>
        <v>664.58</v>
      </c>
      <c r="U28" s="142">
        <f t="shared" si="18"/>
        <v>450.98</v>
      </c>
      <c r="V28" s="134">
        <f t="shared" si="19"/>
        <v>0.19999999999999996</v>
      </c>
      <c r="W28" s="145">
        <f t="shared" si="20"/>
        <v>750</v>
      </c>
      <c r="X28" s="145">
        <f t="shared" si="21"/>
        <v>149.99999999999997</v>
      </c>
      <c r="Y28" s="145">
        <f t="shared" si="22"/>
        <v>58.333333333333321</v>
      </c>
      <c r="Z28" s="135">
        <f t="shared" si="23"/>
        <v>94.111111111111114</v>
      </c>
      <c r="AA28" s="135">
        <f t="shared" si="24"/>
        <v>545.0911111111111</v>
      </c>
      <c r="AB28" s="141">
        <f t="shared" si="25"/>
        <v>545.0911111111111</v>
      </c>
      <c r="AC28" s="2">
        <v>0.7</v>
      </c>
      <c r="AD28" s="171"/>
      <c r="AE28" s="144">
        <f t="shared" si="5"/>
        <v>949.40000000000009</v>
      </c>
      <c r="AF28" s="171"/>
      <c r="AG28" s="50">
        <f t="shared" si="28"/>
        <v>-674</v>
      </c>
      <c r="AH28" s="50">
        <f t="shared" si="29"/>
        <v>938</v>
      </c>
    </row>
    <row r="29" spans="2:34">
      <c r="B29" s="2">
        <v>0.25</v>
      </c>
      <c r="C29" s="142">
        <f t="shared" si="6"/>
        <v>-505.5</v>
      </c>
      <c r="D29" s="142">
        <f t="shared" si="7"/>
        <v>-384</v>
      </c>
      <c r="E29" s="142">
        <f t="shared" si="8"/>
        <v>120</v>
      </c>
      <c r="F29" s="142">
        <f t="shared" si="0"/>
        <v>236.875</v>
      </c>
      <c r="G29" s="142">
        <f t="shared" si="9"/>
        <v>-532.625</v>
      </c>
      <c r="H29" s="133">
        <f t="shared" si="1"/>
        <v>-0.25</v>
      </c>
      <c r="I29" s="145">
        <f t="shared" si="2"/>
        <v>1650</v>
      </c>
      <c r="J29" s="145">
        <f t="shared" si="10"/>
        <v>-412.5</v>
      </c>
      <c r="K29" s="145">
        <f t="shared" si="11"/>
        <v>-160.41666666666666</v>
      </c>
      <c r="L29" s="135">
        <f t="shared" si="12"/>
        <v>-126.04166666666667</v>
      </c>
      <c r="M29" s="127">
        <f t="shared" si="13"/>
        <v>-49.016203703703709</v>
      </c>
      <c r="N29" s="135">
        <f t="shared" si="3"/>
        <v>-658.66666666666663</v>
      </c>
      <c r="O29" s="141">
        <f t="shared" si="14"/>
        <v>-394.66666666666663</v>
      </c>
      <c r="P29" s="135"/>
      <c r="Q29" s="138">
        <f t="shared" si="4"/>
        <v>-178</v>
      </c>
      <c r="R29" s="140">
        <f t="shared" si="15"/>
        <v>0</v>
      </c>
      <c r="S29" s="138">
        <f t="shared" si="16"/>
        <v>0</v>
      </c>
      <c r="T29" s="138">
        <f t="shared" si="17"/>
        <v>710.625</v>
      </c>
      <c r="U29" s="142">
        <f t="shared" si="18"/>
        <v>532.625</v>
      </c>
      <c r="V29" s="134">
        <f t="shared" si="19"/>
        <v>0.25</v>
      </c>
      <c r="W29" s="145">
        <f t="shared" si="20"/>
        <v>625</v>
      </c>
      <c r="X29" s="145">
        <f t="shared" si="21"/>
        <v>156.25</v>
      </c>
      <c r="Y29" s="145">
        <f t="shared" si="22"/>
        <v>60.763888888888893</v>
      </c>
      <c r="Z29" s="135">
        <f t="shared" si="23"/>
        <v>126.04166666666667</v>
      </c>
      <c r="AA29" s="135">
        <f t="shared" si="24"/>
        <v>658.66666666666663</v>
      </c>
      <c r="AB29" s="141">
        <f t="shared" si="25"/>
        <v>658.66666666666663</v>
      </c>
      <c r="AC29" s="2">
        <v>0.75</v>
      </c>
      <c r="AD29" s="171"/>
      <c r="AE29" s="144">
        <f t="shared" si="5"/>
        <v>947.5</v>
      </c>
      <c r="AF29" s="171"/>
      <c r="AG29" s="50">
        <f t="shared" si="28"/>
        <v>-674</v>
      </c>
      <c r="AH29" s="50">
        <f t="shared" si="29"/>
        <v>938</v>
      </c>
    </row>
    <row r="30" spans="2:34">
      <c r="B30" s="2">
        <v>0.2</v>
      </c>
      <c r="C30" s="142">
        <f t="shared" si="6"/>
        <v>-539.20000000000005</v>
      </c>
      <c r="D30" s="142">
        <f t="shared" si="7"/>
        <v>-384</v>
      </c>
      <c r="E30" s="142">
        <f t="shared" si="8"/>
        <v>120</v>
      </c>
      <c r="F30" s="142">
        <f t="shared" si="0"/>
        <v>189.12</v>
      </c>
      <c r="G30" s="142">
        <f t="shared" si="9"/>
        <v>-614.08000000000004</v>
      </c>
      <c r="H30" s="133">
        <f t="shared" si="1"/>
        <v>-0.3</v>
      </c>
      <c r="I30" s="145">
        <f t="shared" si="2"/>
        <v>1760</v>
      </c>
      <c r="J30" s="145">
        <f t="shared" si="10"/>
        <v>-528</v>
      </c>
      <c r="K30" s="145">
        <f t="shared" si="11"/>
        <v>-205.33333333333334</v>
      </c>
      <c r="L30" s="135">
        <f t="shared" si="12"/>
        <v>-161.33333333333331</v>
      </c>
      <c r="M30" s="127">
        <f t="shared" si="13"/>
        <v>-62.740740740740733</v>
      </c>
      <c r="N30" s="135">
        <f t="shared" si="3"/>
        <v>-775.41333333333341</v>
      </c>
      <c r="O30" s="141">
        <f t="shared" si="14"/>
        <v>-511.41333333333341</v>
      </c>
      <c r="P30" s="135"/>
      <c r="Q30" s="138">
        <f t="shared" si="4"/>
        <v>-142.4</v>
      </c>
      <c r="R30" s="140">
        <f t="shared" si="15"/>
        <v>0</v>
      </c>
      <c r="S30" s="138">
        <f t="shared" si="16"/>
        <v>0</v>
      </c>
      <c r="T30" s="138">
        <f t="shared" si="17"/>
        <v>756.48</v>
      </c>
      <c r="U30" s="142">
        <f t="shared" si="18"/>
        <v>614.08000000000004</v>
      </c>
      <c r="V30" s="134">
        <f t="shared" si="19"/>
        <v>0.30000000000000004</v>
      </c>
      <c r="W30" s="145">
        <f t="shared" si="20"/>
        <v>500</v>
      </c>
      <c r="X30" s="145">
        <f t="shared" si="21"/>
        <v>150.00000000000003</v>
      </c>
      <c r="Y30" s="145">
        <f t="shared" si="22"/>
        <v>58.333333333333343</v>
      </c>
      <c r="Z30" s="135">
        <f t="shared" si="23"/>
        <v>161.33333333333331</v>
      </c>
      <c r="AA30" s="135">
        <f t="shared" si="24"/>
        <v>775.41333333333341</v>
      </c>
      <c r="AB30" s="141">
        <f t="shared" si="25"/>
        <v>775.41333333333341</v>
      </c>
      <c r="AC30" s="2">
        <v>0.8</v>
      </c>
      <c r="AD30" s="171"/>
      <c r="AE30" s="144">
        <f t="shared" si="5"/>
        <v>945.59999999999991</v>
      </c>
      <c r="AF30" s="171"/>
      <c r="AG30" s="50">
        <f t="shared" si="28"/>
        <v>-674</v>
      </c>
      <c r="AH30" s="50">
        <f t="shared" si="29"/>
        <v>938</v>
      </c>
    </row>
    <row r="31" spans="2:34">
      <c r="B31" s="2">
        <v>0.15</v>
      </c>
      <c r="C31" s="142">
        <f t="shared" si="6"/>
        <v>-572.9</v>
      </c>
      <c r="D31" s="142">
        <f t="shared" si="7"/>
        <v>-384</v>
      </c>
      <c r="E31" s="142">
        <f t="shared" si="8"/>
        <v>120</v>
      </c>
      <c r="F31" s="142">
        <f t="shared" si="0"/>
        <v>141.55499999999998</v>
      </c>
      <c r="G31" s="142">
        <f t="shared" si="9"/>
        <v>-695.34500000000003</v>
      </c>
      <c r="H31" s="133">
        <f t="shared" si="1"/>
        <v>-0.35</v>
      </c>
      <c r="I31" s="145">
        <f t="shared" si="2"/>
        <v>1870</v>
      </c>
      <c r="J31" s="145">
        <f t="shared" si="10"/>
        <v>-654.5</v>
      </c>
      <c r="K31" s="145">
        <f t="shared" si="11"/>
        <v>-254.52777777777777</v>
      </c>
      <c r="L31" s="135">
        <f t="shared" si="12"/>
        <v>-199.98611111111111</v>
      </c>
      <c r="M31" s="127">
        <f t="shared" si="13"/>
        <v>-77.772376543209873</v>
      </c>
      <c r="N31" s="135">
        <f t="shared" si="3"/>
        <v>-895.33111111111111</v>
      </c>
      <c r="O31" s="141">
        <f t="shared" si="14"/>
        <v>-631.33111111111111</v>
      </c>
      <c r="P31" s="135"/>
      <c r="Q31" s="138">
        <f t="shared" si="4"/>
        <v>-106.8</v>
      </c>
      <c r="R31" s="140">
        <f t="shared" si="15"/>
        <v>0</v>
      </c>
      <c r="S31" s="138">
        <f t="shared" si="16"/>
        <v>0</v>
      </c>
      <c r="T31" s="138">
        <f t="shared" si="17"/>
        <v>802.14499999999987</v>
      </c>
      <c r="U31" s="142">
        <f t="shared" si="18"/>
        <v>695.34499999999991</v>
      </c>
      <c r="V31" s="134">
        <f t="shared" si="19"/>
        <v>0.35</v>
      </c>
      <c r="W31" s="145">
        <f t="shared" si="20"/>
        <v>375</v>
      </c>
      <c r="X31" s="145">
        <f t="shared" si="21"/>
        <v>131.25</v>
      </c>
      <c r="Y31" s="145">
        <f t="shared" si="22"/>
        <v>51.041666666666664</v>
      </c>
      <c r="Z31" s="135">
        <f t="shared" si="23"/>
        <v>199.98611111111111</v>
      </c>
      <c r="AA31" s="135">
        <f t="shared" si="24"/>
        <v>895.331111111111</v>
      </c>
      <c r="AB31" s="141">
        <f t="shared" si="25"/>
        <v>895.331111111111</v>
      </c>
      <c r="AC31" s="2">
        <v>0.85</v>
      </c>
      <c r="AD31" s="171"/>
      <c r="AE31" s="144">
        <f t="shared" si="5"/>
        <v>943.69999999999982</v>
      </c>
      <c r="AF31" s="171"/>
      <c r="AG31" s="50">
        <f t="shared" si="28"/>
        <v>-674</v>
      </c>
      <c r="AH31" s="50">
        <f t="shared" si="29"/>
        <v>938</v>
      </c>
    </row>
    <row r="32" spans="2:34">
      <c r="B32" s="2">
        <v>0.1</v>
      </c>
      <c r="C32" s="142">
        <f t="shared" si="6"/>
        <v>-606.6</v>
      </c>
      <c r="D32" s="142">
        <f t="shared" si="7"/>
        <v>-384</v>
      </c>
      <c r="E32" s="142">
        <f t="shared" si="8"/>
        <v>120</v>
      </c>
      <c r="F32" s="142">
        <f t="shared" si="0"/>
        <v>94.180000000000021</v>
      </c>
      <c r="G32" s="142">
        <f t="shared" si="9"/>
        <v>-776.42</v>
      </c>
      <c r="H32" s="133">
        <f t="shared" si="1"/>
        <v>-0.4</v>
      </c>
      <c r="I32" s="145">
        <f t="shared" si="2"/>
        <v>1980</v>
      </c>
      <c r="J32" s="145">
        <f t="shared" si="10"/>
        <v>-792</v>
      </c>
      <c r="K32" s="145">
        <f t="shared" si="11"/>
        <v>-308</v>
      </c>
      <c r="L32" s="135">
        <f t="shared" si="12"/>
        <v>-242</v>
      </c>
      <c r="M32" s="127">
        <f t="shared" si="13"/>
        <v>-94.111111111111114</v>
      </c>
      <c r="N32" s="135">
        <f t="shared" si="3"/>
        <v>-1018.42</v>
      </c>
      <c r="O32" s="141">
        <f t="shared" si="14"/>
        <v>-754.42</v>
      </c>
      <c r="P32" s="135"/>
      <c r="Q32" s="138">
        <f t="shared" si="4"/>
        <v>-71.2</v>
      </c>
      <c r="R32" s="140">
        <f t="shared" si="15"/>
        <v>0</v>
      </c>
      <c r="S32" s="138">
        <f t="shared" si="16"/>
        <v>0</v>
      </c>
      <c r="T32" s="138">
        <f t="shared" si="17"/>
        <v>847.62000000000023</v>
      </c>
      <c r="U32" s="142">
        <f t="shared" si="18"/>
        <v>776.42000000000019</v>
      </c>
      <c r="V32" s="134">
        <f t="shared" si="19"/>
        <v>0.4</v>
      </c>
      <c r="W32" s="145">
        <f t="shared" si="20"/>
        <v>250</v>
      </c>
      <c r="X32" s="145">
        <f t="shared" si="21"/>
        <v>100</v>
      </c>
      <c r="Y32" s="145">
        <f t="shared" si="22"/>
        <v>38.888888888888893</v>
      </c>
      <c r="Z32" s="135">
        <f t="shared" si="23"/>
        <v>242</v>
      </c>
      <c r="AA32" s="135">
        <f t="shared" si="24"/>
        <v>1018.4200000000002</v>
      </c>
      <c r="AB32" s="141">
        <f t="shared" si="25"/>
        <v>1018.4200000000002</v>
      </c>
      <c r="AC32" s="2">
        <v>0.9</v>
      </c>
      <c r="AD32" s="171"/>
      <c r="AE32" s="144">
        <f t="shared" si="5"/>
        <v>941.80000000000018</v>
      </c>
      <c r="AF32" s="171"/>
      <c r="AG32" s="50">
        <f t="shared" si="28"/>
        <v>-674</v>
      </c>
      <c r="AH32" s="50">
        <f t="shared" si="29"/>
        <v>938</v>
      </c>
    </row>
    <row r="33" spans="1:34">
      <c r="A33" s="171"/>
      <c r="B33" s="2">
        <v>0.05</v>
      </c>
      <c r="C33" s="142">
        <f t="shared" si="6"/>
        <v>-640.29999999999995</v>
      </c>
      <c r="D33" s="142">
        <f t="shared" si="7"/>
        <v>-384</v>
      </c>
      <c r="E33" s="142">
        <f t="shared" si="8"/>
        <v>120</v>
      </c>
      <c r="F33" s="142">
        <f t="shared" si="0"/>
        <v>46.995000000000005</v>
      </c>
      <c r="G33" s="142">
        <f t="shared" si="9"/>
        <v>-857.30499999999995</v>
      </c>
      <c r="H33" s="133">
        <f t="shared" si="1"/>
        <v>-0.45</v>
      </c>
      <c r="I33" s="145">
        <f>$B$2-(B33*$B$2)</f>
        <v>2090</v>
      </c>
      <c r="J33" s="145">
        <f t="shared" si="10"/>
        <v>-940.5</v>
      </c>
      <c r="K33" s="145">
        <f t="shared" si="11"/>
        <v>-365.75</v>
      </c>
      <c r="L33" s="135">
        <f t="shared" si="12"/>
        <v>-287.375</v>
      </c>
      <c r="M33" s="127">
        <f t="shared" si="13"/>
        <v>-111.75694444444444</v>
      </c>
      <c r="N33" s="135">
        <f t="shared" si="3"/>
        <v>-1144.6799999999998</v>
      </c>
      <c r="O33" s="141">
        <f t="shared" si="14"/>
        <v>-880.67999999999984</v>
      </c>
      <c r="P33" s="135"/>
      <c r="Q33" s="138">
        <f t="shared" si="4"/>
        <v>-35.6</v>
      </c>
      <c r="R33" s="140">
        <f t="shared" si="15"/>
        <v>0</v>
      </c>
      <c r="S33" s="138">
        <f t="shared" si="16"/>
        <v>0</v>
      </c>
      <c r="T33" s="138">
        <f t="shared" si="17"/>
        <v>892.90500000000009</v>
      </c>
      <c r="U33" s="142">
        <f t="shared" si="18"/>
        <v>857.30500000000006</v>
      </c>
      <c r="V33" s="134">
        <f t="shared" si="19"/>
        <v>0.44999999999999996</v>
      </c>
      <c r="W33" s="145">
        <f t="shared" si="20"/>
        <v>125</v>
      </c>
      <c r="X33" s="145">
        <f t="shared" si="21"/>
        <v>56.249999999999993</v>
      </c>
      <c r="Y33" s="145">
        <f t="shared" si="22"/>
        <v>21.874999999999996</v>
      </c>
      <c r="Z33" s="135">
        <f t="shared" si="23"/>
        <v>287.375</v>
      </c>
      <c r="AA33" s="135">
        <f t="shared" si="24"/>
        <v>1144.68</v>
      </c>
      <c r="AB33" s="141">
        <f t="shared" si="25"/>
        <v>1144.68</v>
      </c>
      <c r="AC33" s="2">
        <v>0.95</v>
      </c>
      <c r="AD33" s="171"/>
      <c r="AE33" s="144">
        <f t="shared" si="5"/>
        <v>939.90000000000009</v>
      </c>
      <c r="AF33" s="171"/>
      <c r="AG33" s="50">
        <f t="shared" si="28"/>
        <v>-674</v>
      </c>
      <c r="AH33" s="50">
        <f t="shared" si="29"/>
        <v>938</v>
      </c>
    </row>
    <row r="34" spans="1:34">
      <c r="A34" s="171"/>
      <c r="B34" s="2">
        <v>0</v>
      </c>
      <c r="C34" s="142">
        <f t="shared" si="6"/>
        <v>-674</v>
      </c>
      <c r="D34" s="142">
        <f t="shared" si="7"/>
        <v>-384</v>
      </c>
      <c r="E34" s="142">
        <f t="shared" si="8"/>
        <v>120</v>
      </c>
      <c r="F34" s="142">
        <f t="shared" si="0"/>
        <v>0</v>
      </c>
      <c r="G34" s="142">
        <f t="shared" si="9"/>
        <v>-938</v>
      </c>
      <c r="H34" s="133">
        <f t="shared" si="1"/>
        <v>-0.5</v>
      </c>
      <c r="I34" s="145">
        <f>$B$2-(B34*$B$2)</f>
        <v>2200</v>
      </c>
      <c r="J34" s="145">
        <f t="shared" si="10"/>
        <v>-1100</v>
      </c>
      <c r="K34" s="145">
        <f>$C$7*J34</f>
        <v>-427.77777777777777</v>
      </c>
      <c r="L34" s="135">
        <f t="shared" si="12"/>
        <v>-336.11111111111109</v>
      </c>
      <c r="M34" s="127">
        <f t="shared" si="13"/>
        <v>-130.70987654320987</v>
      </c>
      <c r="N34" s="135">
        <f t="shared" si="3"/>
        <v>-1274.1111111111111</v>
      </c>
      <c r="O34" s="141">
        <f t="shared" si="14"/>
        <v>-1010.1111111111111</v>
      </c>
      <c r="P34" s="135"/>
      <c r="Q34" s="138">
        <f t="shared" si="4"/>
        <v>0</v>
      </c>
      <c r="R34" s="140">
        <f t="shared" si="15"/>
        <v>0</v>
      </c>
      <c r="S34" s="138">
        <f t="shared" si="16"/>
        <v>0</v>
      </c>
      <c r="T34" s="138">
        <f t="shared" si="17"/>
        <v>938</v>
      </c>
      <c r="U34" s="142">
        <f t="shared" si="18"/>
        <v>938</v>
      </c>
      <c r="V34" s="134">
        <f t="shared" si="19"/>
        <v>0.5</v>
      </c>
      <c r="W34" s="145">
        <f t="shared" si="20"/>
        <v>0</v>
      </c>
      <c r="X34" s="145">
        <f t="shared" si="21"/>
        <v>0</v>
      </c>
      <c r="Y34" s="145">
        <f t="shared" si="22"/>
        <v>0</v>
      </c>
      <c r="Z34" s="135">
        <f t="shared" si="23"/>
        <v>336.11111111111109</v>
      </c>
      <c r="AA34" s="135">
        <f t="shared" si="24"/>
        <v>1274.1111111111111</v>
      </c>
      <c r="AB34" s="141">
        <f t="shared" si="25"/>
        <v>1274.1111111111111</v>
      </c>
      <c r="AC34" s="2">
        <v>1</v>
      </c>
      <c r="AD34" s="171"/>
      <c r="AE34" s="144">
        <f t="shared" si="5"/>
        <v>938</v>
      </c>
      <c r="AF34" s="171"/>
      <c r="AG34" s="50">
        <f t="shared" si="28"/>
        <v>-674</v>
      </c>
      <c r="AH34" s="50">
        <f t="shared" si="29"/>
        <v>938</v>
      </c>
    </row>
    <row r="35" spans="1:34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 t="b">
        <v>0</v>
      </c>
      <c r="L35" s="171"/>
      <c r="M35" s="171"/>
      <c r="N35" s="171"/>
      <c r="O35" s="171"/>
      <c r="P35" s="171"/>
      <c r="V35" s="171"/>
      <c r="W35" s="171"/>
      <c r="X35" s="171"/>
      <c r="Y35" s="171"/>
      <c r="AB35" s="171"/>
      <c r="AC35" s="171"/>
      <c r="AD35" s="171"/>
      <c r="AE35" s="171"/>
      <c r="AF35" s="171"/>
      <c r="AG35" s="171"/>
      <c r="AH35" s="171"/>
    </row>
    <row r="37" spans="1:34">
      <c r="A37" s="171" t="s">
        <v>184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V37" s="171"/>
      <c r="W37" s="171"/>
      <c r="X37" s="171"/>
      <c r="Y37" s="171"/>
      <c r="AB37" s="171"/>
      <c r="AC37" s="171"/>
      <c r="AD37" s="171"/>
      <c r="AE37" s="171"/>
      <c r="AF37" s="171"/>
      <c r="AG37" s="171"/>
      <c r="AH37" s="171"/>
    </row>
    <row r="38" spans="1:34">
      <c r="A38" s="171" t="str">
        <f>'Rosenheimer Modell'!H6</f>
        <v>Elternteil A</v>
      </c>
      <c r="B38" s="171" t="str">
        <f>'Rosenheimer Modell'!K6</f>
        <v>Elternteil B</v>
      </c>
      <c r="C38" s="171" t="s">
        <v>6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V38" s="171"/>
      <c r="W38" s="171"/>
      <c r="X38" s="171"/>
      <c r="Y38" s="171"/>
      <c r="AB38" s="171"/>
      <c r="AC38" s="171"/>
      <c r="AD38" s="171"/>
      <c r="AE38" s="171"/>
      <c r="AF38" s="171"/>
      <c r="AG38" s="171"/>
      <c r="AH38" s="171"/>
    </row>
    <row r="39" spans="1:34">
      <c r="A39" s="127">
        <f>'Rosenheimer Modell'!K98*-1</f>
        <v>274.02991776987227</v>
      </c>
      <c r="B39" s="127">
        <f>'Rosenheimer Modell'!O98*-1</f>
        <v>422.52032425497168</v>
      </c>
      <c r="C39" s="127">
        <f>'Rosenheimer Modell'!M103</f>
        <v>384</v>
      </c>
      <c r="D39" s="171"/>
      <c r="E39" s="171"/>
      <c r="F39" s="171"/>
      <c r="G39" s="171"/>
      <c r="H39" s="171"/>
      <c r="I39" s="171"/>
      <c r="J39" s="124"/>
      <c r="K39" s="124" t="str">
        <f>'Rosenheimer Modell'!H6</f>
        <v>Elternteil A</v>
      </c>
      <c r="L39" s="124"/>
      <c r="M39" s="124" t="str">
        <f>'Rosenheimer Modell'!K6</f>
        <v>Elternteil B</v>
      </c>
      <c r="N39" s="124"/>
      <c r="O39" s="124"/>
      <c r="P39" s="124"/>
      <c r="Q39" s="124"/>
      <c r="R39" s="124"/>
      <c r="S39" s="124"/>
      <c r="V39" s="171"/>
      <c r="W39" s="171"/>
      <c r="X39" s="171"/>
      <c r="Y39" s="171"/>
      <c r="AB39" s="171"/>
      <c r="AC39" s="171"/>
      <c r="AD39" s="171"/>
      <c r="AE39" s="171"/>
      <c r="AF39" s="171"/>
      <c r="AG39" s="171"/>
      <c r="AH39" s="171"/>
    </row>
    <row r="40" spans="1:34">
      <c r="K40" s="124" t="s">
        <v>92</v>
      </c>
      <c r="L40" s="124"/>
      <c r="M40" s="124"/>
      <c r="N40" s="124"/>
      <c r="O40" s="124"/>
      <c r="P40" s="124"/>
      <c r="Q40" s="124"/>
      <c r="R40" s="124"/>
      <c r="S40" s="124"/>
    </row>
    <row r="41" spans="1:34">
      <c r="J41" s="124" t="str">
        <f>CONCATENATE("Barunterhalt ",'Rosenheimer Modell'!K163)</f>
        <v>Barunterhalt Elternteil A</v>
      </c>
      <c r="K41" s="48">
        <f>'Rosenheimer Modell'!K98*-1</f>
        <v>274.02991776987227</v>
      </c>
      <c r="L41" s="2">
        <f>K41/SUM(K41:K43)</f>
        <v>0.25360219924282962</v>
      </c>
      <c r="M41" s="124"/>
      <c r="N41" s="124"/>
      <c r="O41" s="124"/>
      <c r="P41" s="124"/>
      <c r="Q41" s="124"/>
      <c r="R41" s="124"/>
      <c r="S41" s="124"/>
    </row>
    <row r="42" spans="1:34">
      <c r="A42" s="171"/>
      <c r="B42" s="2">
        <v>1</v>
      </c>
      <c r="C42" s="170">
        <f>Graphik!O14</f>
        <v>1357.9444444444443</v>
      </c>
      <c r="D42" s="123">
        <f>Graphik!AB14</f>
        <v>-1093.9444444444443</v>
      </c>
      <c r="E42" s="170">
        <f>Graphik!AG14</f>
        <v>976</v>
      </c>
      <c r="F42" s="123">
        <f>Graphik!AH14</f>
        <v>-712</v>
      </c>
      <c r="G42" s="2">
        <f t="shared" ref="G42:G62" si="30">1-B42</f>
        <v>0</v>
      </c>
      <c r="H42" s="171"/>
      <c r="I42" s="171"/>
      <c r="J42" s="124" t="str">
        <f>CONCATENATE("Barunterhalt ",'Rosenheimer Modell'!O163)</f>
        <v>Barunterhalt Elternteil B</v>
      </c>
      <c r="K42" s="48">
        <f>'Rosenheimer Modell'!O98*-1</f>
        <v>422.52032425497168</v>
      </c>
      <c r="L42" s="2">
        <f>K42/SUM(K41:K43)</f>
        <v>0.39102330259369567</v>
      </c>
      <c r="M42" s="124"/>
      <c r="N42" s="124"/>
      <c r="O42" s="124"/>
      <c r="P42" s="124"/>
      <c r="Q42" s="124"/>
      <c r="R42" s="124"/>
      <c r="S42" s="124"/>
      <c r="V42" s="171"/>
      <c r="W42" s="171"/>
      <c r="X42" s="171"/>
      <c r="Y42" s="171"/>
      <c r="AB42" s="171"/>
      <c r="AC42" s="171"/>
      <c r="AD42" s="171"/>
      <c r="AE42" s="171"/>
      <c r="AF42" s="171"/>
      <c r="AG42" s="171"/>
      <c r="AH42" s="171"/>
    </row>
    <row r="43" spans="1:34">
      <c r="A43" s="171"/>
      <c r="B43" s="2">
        <v>0.95</v>
      </c>
      <c r="C43" s="170">
        <f>Graphik!O15</f>
        <v>1218.2574999999999</v>
      </c>
      <c r="D43" s="123">
        <f>Graphik!AB15</f>
        <v>-954.25749999999994</v>
      </c>
      <c r="E43" s="170">
        <f>Graphik!AG15</f>
        <v>976</v>
      </c>
      <c r="F43" s="123">
        <f>Graphik!AH15</f>
        <v>-712</v>
      </c>
      <c r="G43" s="2">
        <f t="shared" si="30"/>
        <v>5.0000000000000044E-2</v>
      </c>
      <c r="H43" s="159"/>
      <c r="I43" s="159"/>
      <c r="J43" s="124" t="s">
        <v>211</v>
      </c>
      <c r="K43" s="48">
        <f>'Rosenheimer Modell'!I195</f>
        <v>384</v>
      </c>
      <c r="L43" s="2">
        <f>K43/SUM(K41:K43)</f>
        <v>0.35537449816347466</v>
      </c>
      <c r="M43" s="124"/>
      <c r="N43" s="124"/>
      <c r="O43" s="124"/>
      <c r="P43" s="124"/>
      <c r="Q43" s="124"/>
      <c r="R43" s="124"/>
      <c r="S43" s="124"/>
      <c r="T43" s="159"/>
      <c r="V43" s="171"/>
      <c r="W43" s="171"/>
      <c r="X43" s="171"/>
      <c r="Y43" s="171"/>
      <c r="AB43" s="171"/>
      <c r="AC43" s="171"/>
      <c r="AD43" s="171"/>
      <c r="AE43" s="171"/>
      <c r="AF43" s="171"/>
      <c r="AG43" s="171"/>
      <c r="AH43" s="171"/>
    </row>
    <row r="44" spans="1:34">
      <c r="A44" s="171"/>
      <c r="B44" s="2">
        <v>0.9</v>
      </c>
      <c r="C44" s="170">
        <f>Graphik!O16</f>
        <v>1082.58</v>
      </c>
      <c r="D44" s="123">
        <f>Graphik!AB16</f>
        <v>-818.58</v>
      </c>
      <c r="E44" s="170">
        <f>Graphik!AG16</f>
        <v>976</v>
      </c>
      <c r="F44" s="123">
        <f>Graphik!AH16</f>
        <v>-712</v>
      </c>
      <c r="G44" s="2">
        <f t="shared" si="30"/>
        <v>9.9999999999999978E-2</v>
      </c>
      <c r="H44" s="159"/>
      <c r="I44" s="159"/>
      <c r="J44" s="124" t="s">
        <v>213</v>
      </c>
      <c r="K44" s="48">
        <f>SUM(K41:K43)</f>
        <v>1080.550242024844</v>
      </c>
      <c r="L44" s="124"/>
      <c r="M44" s="1"/>
      <c r="N44" s="1"/>
      <c r="O44" s="1"/>
      <c r="P44" s="1"/>
      <c r="Q44" s="1"/>
      <c r="R44" s="1"/>
      <c r="S44" s="1"/>
      <c r="T44" s="159"/>
      <c r="V44" s="171"/>
      <c r="W44" s="171"/>
      <c r="X44" s="171"/>
      <c r="Y44" s="171"/>
      <c r="AB44" s="171"/>
      <c r="AC44" s="171"/>
      <c r="AD44" s="171"/>
      <c r="AE44" s="171"/>
      <c r="AF44" s="171"/>
      <c r="AG44" s="171"/>
      <c r="AH44" s="171"/>
    </row>
    <row r="45" spans="1:34">
      <c r="A45" s="171"/>
      <c r="B45" s="2">
        <v>0.85</v>
      </c>
      <c r="C45" s="170">
        <f>Graphik!O17</f>
        <v>950.91194444444454</v>
      </c>
      <c r="D45" s="123">
        <f>Graphik!AB17</f>
        <v>-686.91194444444443</v>
      </c>
      <c r="E45" s="170">
        <f>Graphik!AG17</f>
        <v>976</v>
      </c>
      <c r="F45" s="123">
        <f>Graphik!AH17</f>
        <v>-712</v>
      </c>
      <c r="G45" s="2">
        <f t="shared" si="30"/>
        <v>0.15000000000000002</v>
      </c>
      <c r="H45" s="171"/>
      <c r="I45" s="171"/>
      <c r="J45" s="124"/>
      <c r="K45" s="124"/>
      <c r="L45" s="124"/>
      <c r="M45" s="1"/>
      <c r="N45" s="1"/>
      <c r="O45" s="1"/>
      <c r="P45" s="1"/>
      <c r="Q45" s="1"/>
      <c r="R45" s="1"/>
      <c r="S45" s="1"/>
      <c r="V45" s="171"/>
      <c r="W45" s="171"/>
      <c r="X45" s="171"/>
      <c r="Y45" s="171"/>
      <c r="AB45" s="171"/>
      <c r="AC45" s="171"/>
      <c r="AD45" s="171"/>
      <c r="AE45" s="171"/>
      <c r="AF45" s="171"/>
      <c r="AG45" s="171"/>
      <c r="AH45" s="171"/>
    </row>
    <row r="46" spans="1:34">
      <c r="A46" s="171"/>
      <c r="B46" s="2">
        <v>0.8</v>
      </c>
      <c r="C46" s="170">
        <f>Graphik!O18</f>
        <v>823.25333333333356</v>
      </c>
      <c r="D46" s="123">
        <f>Graphik!AB18</f>
        <v>-559.25333333333333</v>
      </c>
      <c r="E46" s="170">
        <f>Graphik!AG18</f>
        <v>976</v>
      </c>
      <c r="F46" s="123">
        <f>Graphik!AH18</f>
        <v>-712</v>
      </c>
      <c r="G46" s="2">
        <f t="shared" si="30"/>
        <v>0.19999999999999996</v>
      </c>
      <c r="H46" s="171"/>
      <c r="I46" s="171"/>
      <c r="J46" s="73"/>
      <c r="K46" s="124"/>
      <c r="L46" s="124"/>
      <c r="M46" s="1"/>
      <c r="N46" s="1"/>
      <c r="O46" s="1"/>
      <c r="P46" s="1"/>
      <c r="Q46" s="1"/>
      <c r="R46" s="1"/>
      <c r="S46" s="1"/>
      <c r="V46" s="171"/>
      <c r="W46" s="171"/>
      <c r="X46" s="171"/>
      <c r="Y46" s="171"/>
      <c r="AB46" s="171"/>
      <c r="AC46" s="171"/>
      <c r="AD46" s="171"/>
      <c r="AE46" s="171"/>
      <c r="AF46" s="171"/>
      <c r="AG46" s="171"/>
      <c r="AH46" s="171"/>
    </row>
    <row r="47" spans="1:34">
      <c r="A47" s="171"/>
      <c r="B47" s="2">
        <v>0.75</v>
      </c>
      <c r="C47" s="170">
        <f>Graphik!O19</f>
        <v>699.60416666666674</v>
      </c>
      <c r="D47" s="123">
        <f>Graphik!AB19</f>
        <v>-435.60416666666669</v>
      </c>
      <c r="E47" s="170">
        <f>Graphik!AG19</f>
        <v>976</v>
      </c>
      <c r="F47" s="123">
        <f>Graphik!AH19</f>
        <v>-712</v>
      </c>
      <c r="G47" s="2">
        <f t="shared" si="30"/>
        <v>0.25</v>
      </c>
      <c r="H47" s="171"/>
      <c r="I47" s="171"/>
      <c r="J47" s="124"/>
      <c r="K47" s="124"/>
      <c r="L47" s="124"/>
      <c r="M47" s="1"/>
      <c r="N47" s="1"/>
      <c r="O47" s="1"/>
      <c r="P47" s="1"/>
      <c r="Q47" s="1"/>
      <c r="R47" s="1"/>
      <c r="S47" s="1"/>
      <c r="V47" s="171"/>
      <c r="W47" s="171"/>
      <c r="X47" s="171"/>
      <c r="Y47" s="171"/>
      <c r="AB47" s="171"/>
      <c r="AC47" s="171"/>
      <c r="AD47" s="171"/>
      <c r="AE47" s="171"/>
      <c r="AF47" s="171"/>
      <c r="AG47" s="171"/>
      <c r="AH47" s="171"/>
    </row>
    <row r="48" spans="1:34">
      <c r="A48" s="171"/>
      <c r="B48" s="2">
        <v>0.7</v>
      </c>
      <c r="C48" s="170">
        <f>Graphik!O20</f>
        <v>579.96444444444433</v>
      </c>
      <c r="D48" s="123">
        <f>Graphik!AB20</f>
        <v>-315.9644444444445</v>
      </c>
      <c r="E48" s="170">
        <f>Graphik!AG20</f>
        <v>976</v>
      </c>
      <c r="F48" s="123">
        <f>Graphik!AH20</f>
        <v>-712</v>
      </c>
      <c r="G48" s="2">
        <f t="shared" si="30"/>
        <v>0.30000000000000004</v>
      </c>
      <c r="H48" s="171"/>
      <c r="I48" s="171"/>
      <c r="J48" s="124"/>
      <c r="K48" s="124"/>
      <c r="L48" s="124"/>
      <c r="M48" s="1"/>
      <c r="N48" s="1"/>
      <c r="O48" s="1"/>
      <c r="P48" s="1"/>
      <c r="Q48" s="1"/>
      <c r="R48" s="1"/>
      <c r="S48" s="1"/>
      <c r="V48" s="171"/>
      <c r="W48" s="171"/>
      <c r="X48" s="171"/>
      <c r="Y48" s="171"/>
      <c r="AB48" s="171"/>
      <c r="AC48" s="171"/>
      <c r="AD48" s="171"/>
      <c r="AE48" s="171"/>
      <c r="AF48" s="171"/>
      <c r="AG48" s="171"/>
      <c r="AH48" s="171"/>
    </row>
    <row r="49" spans="2:19">
      <c r="B49" s="2">
        <v>0.65</v>
      </c>
      <c r="C49" s="170">
        <f>Graphik!O21</f>
        <v>464.33416666666676</v>
      </c>
      <c r="D49" s="123">
        <f>Graphik!AB21</f>
        <v>-200.3341666666667</v>
      </c>
      <c r="E49" s="170">
        <f>Graphik!AG21</f>
        <v>976</v>
      </c>
      <c r="F49" s="123">
        <f>Graphik!AH21</f>
        <v>-712</v>
      </c>
      <c r="G49" s="2">
        <f t="shared" si="30"/>
        <v>0.35</v>
      </c>
      <c r="J49" s="124"/>
      <c r="K49" s="124"/>
      <c r="L49" s="124"/>
      <c r="M49" s="1"/>
      <c r="N49" s="1"/>
      <c r="O49" s="1"/>
      <c r="P49" s="1"/>
      <c r="Q49" s="1"/>
      <c r="R49" s="1"/>
      <c r="S49" s="1"/>
    </row>
    <row r="50" spans="2:19">
      <c r="B50" s="2">
        <v>0.60000000000000009</v>
      </c>
      <c r="C50" s="170">
        <f>Graphik!O22</f>
        <v>352.7133333333332</v>
      </c>
      <c r="D50" s="123">
        <f>Graphik!AB22</f>
        <v>-88.713333333333324</v>
      </c>
      <c r="E50" s="170">
        <f>Graphik!AG22</f>
        <v>976</v>
      </c>
      <c r="F50" s="123">
        <f>Graphik!AH22</f>
        <v>-712</v>
      </c>
      <c r="G50" s="2">
        <f t="shared" si="30"/>
        <v>0.39999999999999991</v>
      </c>
      <c r="J50" s="124"/>
      <c r="K50" s="124"/>
      <c r="L50" s="124"/>
      <c r="M50" s="1"/>
      <c r="N50" s="1"/>
      <c r="O50" s="1"/>
      <c r="P50" s="1"/>
      <c r="Q50" s="1"/>
      <c r="R50" s="1"/>
      <c r="S50" s="1"/>
    </row>
    <row r="51" spans="2:19">
      <c r="B51" s="2">
        <v>0.55000000000000004</v>
      </c>
      <c r="C51" s="170">
        <f>Graphik!O23</f>
        <v>245.1019444444446</v>
      </c>
      <c r="D51" s="123">
        <f>Graphik!AB23</f>
        <v>18.89805555555559</v>
      </c>
      <c r="E51" s="170">
        <f>Graphik!AG23</f>
        <v>976</v>
      </c>
      <c r="F51" s="123">
        <f>Graphik!AH23</f>
        <v>-712</v>
      </c>
      <c r="G51" s="2">
        <f t="shared" si="30"/>
        <v>0.44999999999999996</v>
      </c>
      <c r="J51" s="124"/>
      <c r="K51" s="124"/>
      <c r="L51" s="124"/>
      <c r="M51" s="1"/>
      <c r="N51" s="1"/>
      <c r="O51" s="1"/>
      <c r="P51" s="1"/>
      <c r="Q51" s="1"/>
      <c r="R51" s="1"/>
      <c r="S51" s="1"/>
    </row>
    <row r="52" spans="2:19">
      <c r="B52" s="2">
        <v>0.5</v>
      </c>
      <c r="C52" s="170">
        <f>Graphik!O24</f>
        <v>141.5</v>
      </c>
      <c r="D52" s="123">
        <f>Graphik!AB24</f>
        <v>122.5</v>
      </c>
      <c r="E52" s="170">
        <f>Graphik!AG24</f>
        <v>132</v>
      </c>
      <c r="F52" s="123">
        <f>Graphik!AH24</f>
        <v>132</v>
      </c>
      <c r="G52" s="2">
        <f t="shared" si="30"/>
        <v>0.5</v>
      </c>
      <c r="J52" s="124"/>
      <c r="K52" s="124"/>
      <c r="L52" s="124"/>
      <c r="M52" s="1"/>
      <c r="N52" s="1"/>
      <c r="O52" s="1"/>
      <c r="P52" s="1"/>
      <c r="Q52" s="1"/>
      <c r="R52" s="1"/>
      <c r="S52" s="1"/>
    </row>
    <row r="53" spans="2:19">
      <c r="B53" s="2">
        <v>0.45</v>
      </c>
      <c r="C53" s="170">
        <f>Graphik!O25</f>
        <v>40.608888888888913</v>
      </c>
      <c r="D53" s="123">
        <f>Graphik!AB25</f>
        <v>223.39111111111114</v>
      </c>
      <c r="E53" s="170">
        <f>Graphik!AG25</f>
        <v>-674</v>
      </c>
      <c r="F53" s="123">
        <f>Graphik!AH25</f>
        <v>938</v>
      </c>
      <c r="G53" s="2">
        <f t="shared" si="30"/>
        <v>0.55000000000000004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>
      <c r="B54" s="2">
        <v>0.4</v>
      </c>
      <c r="C54" s="170">
        <f>Graphik!O26</f>
        <v>-63.453333333333262</v>
      </c>
      <c r="D54" s="123">
        <f>Graphik!AB26</f>
        <v>327.45333333333326</v>
      </c>
      <c r="E54" s="170">
        <f>Graphik!AG26</f>
        <v>-674</v>
      </c>
      <c r="F54" s="123">
        <f>Graphik!AH26</f>
        <v>938</v>
      </c>
      <c r="G54" s="2">
        <f t="shared" si="30"/>
        <v>0.6</v>
      </c>
    </row>
    <row r="55" spans="2:19">
      <c r="B55" s="2">
        <v>0.35</v>
      </c>
      <c r="C55" s="170">
        <f>Graphik!O27</f>
        <v>-170.68666666666672</v>
      </c>
      <c r="D55" s="123">
        <f>Graphik!AB27</f>
        <v>434.68666666666672</v>
      </c>
      <c r="E55" s="170">
        <f>Graphik!AG27</f>
        <v>-674</v>
      </c>
      <c r="F55" s="123">
        <f>Graphik!AH27</f>
        <v>938</v>
      </c>
      <c r="G55" s="2">
        <f t="shared" si="30"/>
        <v>0.65</v>
      </c>
    </row>
    <row r="56" spans="2:19">
      <c r="B56" s="2">
        <v>0.30000000000000004</v>
      </c>
      <c r="C56" s="170">
        <f>Graphik!O28</f>
        <v>-281.0911111111111</v>
      </c>
      <c r="D56" s="123">
        <f>Graphik!AB28</f>
        <v>545.0911111111111</v>
      </c>
      <c r="E56" s="170">
        <f>Graphik!AG28</f>
        <v>-674</v>
      </c>
      <c r="F56" s="123">
        <f>Graphik!AH28</f>
        <v>938</v>
      </c>
      <c r="G56" s="2">
        <f t="shared" si="30"/>
        <v>0.7</v>
      </c>
    </row>
    <row r="57" spans="2:19">
      <c r="B57" s="2">
        <v>0.25</v>
      </c>
      <c r="C57" s="170">
        <f>Graphik!O29</f>
        <v>-394.66666666666663</v>
      </c>
      <c r="D57" s="123">
        <f>Graphik!AB29</f>
        <v>658.66666666666663</v>
      </c>
      <c r="E57" s="170">
        <f>Graphik!AG29</f>
        <v>-674</v>
      </c>
      <c r="F57" s="123">
        <f>Graphik!AH29</f>
        <v>938</v>
      </c>
      <c r="G57" s="2">
        <f t="shared" si="30"/>
        <v>0.75</v>
      </c>
    </row>
    <row r="58" spans="2:19">
      <c r="B58" s="2">
        <v>0.2</v>
      </c>
      <c r="C58" s="170">
        <f>Graphik!O30</f>
        <v>-511.41333333333341</v>
      </c>
      <c r="D58" s="123">
        <f>Graphik!AB30</f>
        <v>775.41333333333341</v>
      </c>
      <c r="E58" s="170">
        <f>Graphik!AG30</f>
        <v>-674</v>
      </c>
      <c r="F58" s="123">
        <f>Graphik!AH30</f>
        <v>938</v>
      </c>
      <c r="G58" s="2">
        <f t="shared" si="30"/>
        <v>0.8</v>
      </c>
    </row>
    <row r="59" spans="2:19">
      <c r="B59" s="2">
        <v>0.15</v>
      </c>
      <c r="C59" s="170">
        <f>Graphik!O31</f>
        <v>-631.33111111111111</v>
      </c>
      <c r="D59" s="123">
        <f>Graphik!AB31</f>
        <v>895.331111111111</v>
      </c>
      <c r="E59" s="170">
        <f>Graphik!AG31</f>
        <v>-674</v>
      </c>
      <c r="F59" s="123">
        <f>Graphik!AH31</f>
        <v>938</v>
      </c>
      <c r="G59" s="2">
        <f t="shared" si="30"/>
        <v>0.85</v>
      </c>
    </row>
    <row r="60" spans="2:19">
      <c r="B60" s="2">
        <v>0.1</v>
      </c>
      <c r="C60" s="170">
        <f>Graphik!O32</f>
        <v>-754.42</v>
      </c>
      <c r="D60" s="123">
        <f>Graphik!AB32</f>
        <v>1018.4200000000002</v>
      </c>
      <c r="E60" s="170">
        <f>Graphik!AG32</f>
        <v>-674</v>
      </c>
      <c r="F60" s="123">
        <f>Graphik!AH32</f>
        <v>938</v>
      </c>
      <c r="G60" s="2">
        <f t="shared" si="30"/>
        <v>0.9</v>
      </c>
    </row>
    <row r="61" spans="2:19">
      <c r="B61" s="2">
        <v>0.05</v>
      </c>
      <c r="C61" s="170">
        <f>Graphik!O33</f>
        <v>-880.67999999999984</v>
      </c>
      <c r="D61" s="123">
        <f>Graphik!AB33</f>
        <v>1144.68</v>
      </c>
      <c r="E61" s="170">
        <f>Graphik!AG33</f>
        <v>-674</v>
      </c>
      <c r="F61" s="123">
        <f>Graphik!AH33</f>
        <v>938</v>
      </c>
      <c r="G61" s="2">
        <f t="shared" si="30"/>
        <v>0.95</v>
      </c>
    </row>
    <row r="62" spans="2:19">
      <c r="B62" s="2">
        <v>0</v>
      </c>
      <c r="C62" s="170">
        <f>Graphik!O34</f>
        <v>-1010.1111111111111</v>
      </c>
      <c r="D62" s="123">
        <f>Graphik!AB34</f>
        <v>1274.1111111111111</v>
      </c>
      <c r="E62" s="170">
        <f>Graphik!AG34</f>
        <v>-674</v>
      </c>
      <c r="F62" s="123">
        <f>Graphik!AH34</f>
        <v>938</v>
      </c>
      <c r="G62" s="2">
        <f t="shared" si="30"/>
        <v>1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showRowColHeaders="0" showRuler="0" showWhiteSpace="0" view="pageLayout" zoomScale="160" zoomScaleNormal="130" zoomScalePageLayoutView="160" workbookViewId="0">
      <selection activeCell="A11" sqref="A11"/>
    </sheetView>
  </sheetViews>
  <sheetFormatPr baseColWidth="10" defaultColWidth="11.42578125" defaultRowHeight="12.75"/>
  <cols>
    <col min="1" max="1" width="9.28515625" style="171" customWidth="1"/>
    <col min="2" max="2" width="3.28515625" style="165" customWidth="1"/>
    <col min="3" max="3" width="7.28515625" style="171" hidden="1" customWidth="1"/>
    <col min="4" max="4" width="11.42578125" style="165" hidden="1" customWidth="1"/>
    <col min="5" max="5" width="23.140625" style="87" customWidth="1"/>
    <col min="6" max="11" width="8.5703125" style="165" customWidth="1"/>
    <col min="12" max="12" width="2.85546875" style="165" hidden="1" customWidth="1"/>
    <col min="13" max="16384" width="11.42578125" style="165"/>
  </cols>
  <sheetData>
    <row r="1" spans="1:12" s="171" customFormat="1">
      <c r="E1" s="209" t="str">
        <f>'Rosenheimer Modell'!D3</f>
        <v>Name:</v>
      </c>
      <c r="F1" s="214" t="str">
        <f>IF('Rosenheimer Modell'!F3="","",'Rosenheimer Modell'!F3)</f>
        <v>Tim</v>
      </c>
      <c r="G1" s="214" t="str">
        <f>IF('Rosenheimer Modell'!H3="","",'Rosenheimer Modell'!H3)</f>
        <v>Susi</v>
      </c>
      <c r="H1" s="215" t="str">
        <f>IF('Rosenheimer Modell'!J3="","",'Rosenheimer Modell'!J3)</f>
        <v/>
      </c>
      <c r="I1" s="214" t="str">
        <f>IF('Rosenheimer Modell'!L3="","",'Rosenheimer Modell'!L3)</f>
        <v/>
      </c>
      <c r="J1" s="214" t="str">
        <f>IF('Rosenheimer Modell'!N3="","",'Rosenheimer Modell'!N3)</f>
        <v/>
      </c>
      <c r="K1" s="214" t="str">
        <f>IF('Rosenheimer Modell'!P3="","",'Rosenheimer Modell'!P3)</f>
        <v/>
      </c>
      <c r="L1" s="87"/>
    </row>
    <row r="2" spans="1:12" s="171" customFormat="1">
      <c r="E2" s="209" t="str">
        <f>'Rosenheimer Modell'!D4</f>
        <v>Alter:</v>
      </c>
      <c r="F2" s="211">
        <f>IF(F1="","",'Rosenheimer Modell'!F4)</f>
        <v>11</v>
      </c>
      <c r="G2" s="211">
        <f>IF(G1="","",'Rosenheimer Modell'!H4)</f>
        <v>7</v>
      </c>
      <c r="H2" s="211" t="str">
        <f>IF(H1="","",'Rosenheimer Modell'!J4)</f>
        <v/>
      </c>
      <c r="I2" s="211" t="str">
        <f>IF(I1="","",'Rosenheimer Modell'!L4)</f>
        <v/>
      </c>
      <c r="J2" s="211" t="str">
        <f>IF(J1="","",'Rosenheimer Modell'!N4)</f>
        <v/>
      </c>
      <c r="K2" s="211" t="str">
        <f>IF(K1="","",'Rosenheimer Modell'!P4)</f>
        <v/>
      </c>
      <c r="L2" s="87"/>
    </row>
    <row r="3" spans="1:12" s="171" customFormat="1" hidden="1">
      <c r="E3" s="210" t="s">
        <v>220</v>
      </c>
      <c r="F3" s="212">
        <f>IF(F1="","",IF(F2&gt;17,4,IF(F2&gt;11,3,IF(F2&gt;5,2,1))))</f>
        <v>2</v>
      </c>
      <c r="G3" s="212">
        <f t="shared" ref="G3:K3" si="0">IF(G1="","",IF(G2&gt;17,4,IF(G2&gt;11,3,IF(G2&gt;5,2,1))))</f>
        <v>2</v>
      </c>
      <c r="H3" s="212" t="str">
        <f t="shared" si="0"/>
        <v/>
      </c>
      <c r="I3" s="212" t="str">
        <f t="shared" si="0"/>
        <v/>
      </c>
      <c r="J3" s="212" t="str">
        <f t="shared" si="0"/>
        <v/>
      </c>
      <c r="K3" s="212" t="str">
        <f t="shared" si="0"/>
        <v/>
      </c>
      <c r="L3" s="87"/>
    </row>
    <row r="4" spans="1:12" s="171" customFormat="1">
      <c r="E4" s="209" t="str">
        <f>CONCATENATE("Unterhalt DT ",'Rosenheimer Modell'!H6)</f>
        <v>Unterhalt DT Elternteil A</v>
      </c>
      <c r="F4" s="213">
        <f>IF(F1="","",VLOOKUP($L$7,$D$17:$I$26,F3+2))</f>
        <v>337</v>
      </c>
      <c r="G4" s="213">
        <f>IF(G1="","",VLOOKUP($L$7,$D$17:$I$26,G3+2))</f>
        <v>337</v>
      </c>
      <c r="H4" s="213" t="str">
        <f>IF(H1="","",VLOOKUP($L$7,$D$32:$I$41,H3+2))</f>
        <v/>
      </c>
      <c r="I4" s="213" t="str">
        <f>IF(I1="","",VLOOKUP($L$7,$D$47:$I$56,I3+2))</f>
        <v/>
      </c>
      <c r="J4" s="213" t="str">
        <f>IF(J1="","",VLOOKUP($L$7,$D$47:$I$56,J3+2))</f>
        <v/>
      </c>
      <c r="K4" s="213" t="str">
        <f>IF(K1="","",VLOOKUP($L$7,$D$47:$I$56,K3+2))</f>
        <v/>
      </c>
    </row>
    <row r="5" spans="1:12" s="171" customFormat="1">
      <c r="E5" s="209" t="str">
        <f>CONCATENATE("Unterhalt DT ",'Rosenheimer Modell'!K6)</f>
        <v>Unterhalt DT Elternteil B</v>
      </c>
      <c r="F5" s="213">
        <f t="shared" ref="F5:G5" si="1">IF(F1="","",VLOOKUP($L$8,$D$17:$I$26,F3+2))</f>
        <v>356</v>
      </c>
      <c r="G5" s="213">
        <f t="shared" si="1"/>
        <v>356</v>
      </c>
      <c r="H5" s="213" t="str">
        <f>IF(H1="","",VLOOKUP($L$8,$D$32:$I$41,H3+2))</f>
        <v/>
      </c>
      <c r="I5" s="213" t="str">
        <f>IF(I1="","",VLOOKUP($L$8,$D$47:$I$56,I3+2))</f>
        <v/>
      </c>
      <c r="J5" s="213" t="str">
        <f>IF(J1="","",VLOOKUP($L$8,$D$47:$I$56,J3+2))</f>
        <v/>
      </c>
      <c r="K5" s="213" t="str">
        <f>IF(K1="","",VLOOKUP($L$8,$D$47:$I$56,K3+2))</f>
        <v/>
      </c>
    </row>
    <row r="6" spans="1:12" s="171" customFormat="1">
      <c r="E6" s="87"/>
    </row>
    <row r="7" spans="1:12" s="171" customFormat="1">
      <c r="E7" s="409" t="str">
        <f>CONCATENATE('Rosenheimer Modell'!I78," ",'Rosenheimer Modell'!H6,":")</f>
        <v>angenommenes Vollzeit Einkommen Netto Elternteil A:</v>
      </c>
      <c r="F7" s="409"/>
      <c r="G7" s="409"/>
      <c r="H7" s="409"/>
      <c r="I7" s="409"/>
      <c r="J7" s="408">
        <f>'Rosenheimer Modell'!K78</f>
        <v>2200</v>
      </c>
      <c r="K7" s="408"/>
      <c r="L7" s="171">
        <f>IF(J7&gt;4700,10,IF(J7&gt;4300,9,IF(J7&gt;4300,9,IF(J7&gt;3900,8,IF(J7&gt;3500,7,IF(J7&gt;3100,6,IF(J7&gt;2700,5,IF(J7&gt;2300,4,IF(J7&gt;1900,3,IF(J7&gt;1500,2,1))))))))))</f>
        <v>3</v>
      </c>
    </row>
    <row r="8" spans="1:12" s="171" customFormat="1">
      <c r="E8" s="409" t="str">
        <f>CONCATENATE('Rosenheimer Modell'!I78," ",'Rosenheimer Modell'!K6,":")</f>
        <v>angenommenes Vollzeit Einkommen Netto Elternteil B:</v>
      </c>
      <c r="F8" s="409"/>
      <c r="G8" s="409"/>
      <c r="H8" s="409"/>
      <c r="I8" s="409"/>
      <c r="J8" s="408">
        <f>'Rosenheimer Modell'!O78</f>
        <v>2500</v>
      </c>
      <c r="K8" s="408"/>
      <c r="L8" s="171">
        <f>IF(J8&gt;4700,10,IF(J8&gt;4300,9,IF(J8&gt;4300,9,IF(J8&gt;3900,8,IF(J8&gt;3500,7,IF(J8&gt;3100,6,IF(J8&gt;2700,5,IF(J8&gt;2300,4,IF(J8&gt;1900,3,IF(J8&gt;1500,2,1))))))))))</f>
        <v>4</v>
      </c>
    </row>
    <row r="9" spans="1:12">
      <c r="H9" s="53"/>
    </row>
    <row r="10" spans="1:12">
      <c r="D10" s="5"/>
      <c r="E10" s="5" t="s">
        <v>185</v>
      </c>
      <c r="F10" s="171"/>
      <c r="G10" s="171"/>
      <c r="H10" s="53"/>
      <c r="I10" s="171"/>
      <c r="J10" s="171"/>
    </row>
    <row r="11" spans="1:12">
      <c r="A11" s="216" t="s">
        <v>186</v>
      </c>
      <c r="H11" s="53"/>
      <c r="I11" s="171"/>
    </row>
    <row r="12" spans="1:12">
      <c r="D12" s="86"/>
      <c r="F12" s="86"/>
      <c r="G12" s="86"/>
      <c r="H12" s="86"/>
      <c r="I12" s="86"/>
      <c r="J12" s="86"/>
    </row>
    <row r="13" spans="1:12" ht="12.95" customHeight="1">
      <c r="C13" s="165"/>
      <c r="E13" s="400" t="s">
        <v>193</v>
      </c>
      <c r="F13" s="402" t="s">
        <v>187</v>
      </c>
      <c r="G13" s="403"/>
      <c r="H13" s="403"/>
      <c r="I13" s="404"/>
      <c r="J13" s="86"/>
    </row>
    <row r="14" spans="1:12" ht="12.95" customHeight="1">
      <c r="D14" s="86"/>
      <c r="E14" s="401"/>
      <c r="F14" s="405"/>
      <c r="G14" s="406"/>
      <c r="H14" s="406"/>
      <c r="I14" s="407"/>
      <c r="J14" s="171"/>
    </row>
    <row r="15" spans="1:12" s="171" customFormat="1" ht="12.95" hidden="1" customHeight="1">
      <c r="D15" s="86"/>
      <c r="E15" s="199"/>
      <c r="F15" s="193" t="s">
        <v>214</v>
      </c>
      <c r="G15" s="193" t="s">
        <v>215</v>
      </c>
      <c r="H15" s="193" t="s">
        <v>216</v>
      </c>
      <c r="I15" s="193" t="s">
        <v>217</v>
      </c>
    </row>
    <row r="16" spans="1:12">
      <c r="D16" s="86"/>
      <c r="E16" s="200" t="s">
        <v>218</v>
      </c>
      <c r="F16" s="95" t="s">
        <v>189</v>
      </c>
      <c r="G16" s="95" t="s">
        <v>190</v>
      </c>
      <c r="H16" s="95" t="s">
        <v>191</v>
      </c>
      <c r="I16" s="95" t="s">
        <v>192</v>
      </c>
      <c r="J16" s="171"/>
    </row>
    <row r="17" spans="4:10" ht="14.1" customHeight="1">
      <c r="D17" s="86">
        <v>1</v>
      </c>
      <c r="E17" s="95" t="s">
        <v>188</v>
      </c>
      <c r="F17" s="94">
        <v>246</v>
      </c>
      <c r="G17" s="94">
        <v>297</v>
      </c>
      <c r="H17" s="94">
        <v>364</v>
      </c>
      <c r="I17" s="94">
        <v>335</v>
      </c>
      <c r="J17" s="171"/>
    </row>
    <row r="18" spans="4:10" ht="14.1" customHeight="1">
      <c r="D18" s="86">
        <v>2</v>
      </c>
      <c r="E18" s="95" t="s">
        <v>196</v>
      </c>
      <c r="F18" s="94">
        <v>264</v>
      </c>
      <c r="G18" s="94">
        <v>317</v>
      </c>
      <c r="H18" s="94">
        <v>387</v>
      </c>
      <c r="I18" s="94">
        <v>362</v>
      </c>
      <c r="J18" s="171"/>
    </row>
    <row r="19" spans="4:10" ht="14.1" customHeight="1">
      <c r="D19" s="86">
        <v>3</v>
      </c>
      <c r="E19" s="95" t="s">
        <v>197</v>
      </c>
      <c r="F19" s="94">
        <v>281</v>
      </c>
      <c r="G19" s="94">
        <v>337</v>
      </c>
      <c r="H19" s="94">
        <v>410</v>
      </c>
      <c r="I19" s="94">
        <v>388</v>
      </c>
      <c r="J19" s="171"/>
    </row>
    <row r="20" spans="4:10" ht="14.1" customHeight="1">
      <c r="D20" s="86">
        <v>4</v>
      </c>
      <c r="E20" s="95" t="s">
        <v>198</v>
      </c>
      <c r="F20" s="94">
        <v>298</v>
      </c>
      <c r="G20" s="94">
        <v>356</v>
      </c>
      <c r="H20" s="94">
        <v>433</v>
      </c>
      <c r="I20" s="94">
        <v>415</v>
      </c>
    </row>
    <row r="21" spans="4:10" ht="14.1" customHeight="1">
      <c r="D21" s="86">
        <v>5</v>
      </c>
      <c r="E21" s="95" t="s">
        <v>199</v>
      </c>
      <c r="F21" s="94">
        <v>315</v>
      </c>
      <c r="G21" s="94">
        <v>376</v>
      </c>
      <c r="H21" s="94">
        <v>456</v>
      </c>
      <c r="I21" s="94">
        <v>441</v>
      </c>
    </row>
    <row r="22" spans="4:10" ht="14.1" customHeight="1">
      <c r="D22" s="86">
        <v>6</v>
      </c>
      <c r="E22" s="95" t="s">
        <v>200</v>
      </c>
      <c r="F22" s="94">
        <v>342</v>
      </c>
      <c r="G22" s="94">
        <v>408</v>
      </c>
      <c r="H22" s="94">
        <v>493</v>
      </c>
      <c r="I22" s="94">
        <v>483</v>
      </c>
    </row>
    <row r="23" spans="4:10" ht="14.1" customHeight="1">
      <c r="D23" s="86">
        <v>7</v>
      </c>
      <c r="E23" s="95" t="s">
        <v>201</v>
      </c>
      <c r="F23" s="94">
        <v>370</v>
      </c>
      <c r="G23" s="94">
        <v>439</v>
      </c>
      <c r="H23" s="94">
        <v>530</v>
      </c>
      <c r="I23" s="94">
        <v>525</v>
      </c>
    </row>
    <row r="24" spans="4:10" ht="14.1" customHeight="1">
      <c r="D24" s="86">
        <v>8</v>
      </c>
      <c r="E24" s="95" t="s">
        <v>202</v>
      </c>
      <c r="F24" s="94">
        <v>397</v>
      </c>
      <c r="G24" s="94">
        <v>470</v>
      </c>
      <c r="H24" s="94">
        <v>567</v>
      </c>
      <c r="I24" s="94">
        <v>567</v>
      </c>
    </row>
    <row r="25" spans="4:10" ht="14.1" customHeight="1">
      <c r="D25" s="86">
        <v>9</v>
      </c>
      <c r="E25" s="95" t="s">
        <v>203</v>
      </c>
      <c r="F25" s="94">
        <v>424</v>
      </c>
      <c r="G25" s="94">
        <v>502</v>
      </c>
      <c r="H25" s="94">
        <v>604</v>
      </c>
      <c r="I25" s="94">
        <v>610</v>
      </c>
    </row>
    <row r="26" spans="4:10" ht="14.1" customHeight="1">
      <c r="D26" s="86">
        <v>10</v>
      </c>
      <c r="E26" s="95" t="s">
        <v>204</v>
      </c>
      <c r="F26" s="94">
        <v>452</v>
      </c>
      <c r="G26" s="94">
        <v>533</v>
      </c>
      <c r="H26" s="94">
        <v>640</v>
      </c>
      <c r="I26" s="94">
        <v>652</v>
      </c>
    </row>
    <row r="28" spans="4:10">
      <c r="E28" s="400" t="s">
        <v>194</v>
      </c>
      <c r="F28" s="402" t="s">
        <v>187</v>
      </c>
      <c r="G28" s="403"/>
      <c r="H28" s="403"/>
      <c r="I28" s="404"/>
    </row>
    <row r="29" spans="4:10">
      <c r="E29" s="401"/>
      <c r="F29" s="405"/>
      <c r="G29" s="406"/>
      <c r="H29" s="406"/>
      <c r="I29" s="407"/>
    </row>
    <row r="30" spans="4:10" hidden="1">
      <c r="E30" s="199"/>
      <c r="F30" s="193" t="s">
        <v>214</v>
      </c>
      <c r="G30" s="193" t="s">
        <v>215</v>
      </c>
      <c r="H30" s="193" t="s">
        <v>216</v>
      </c>
      <c r="I30" s="193" t="s">
        <v>217</v>
      </c>
    </row>
    <row r="31" spans="4:10" ht="14.1" customHeight="1">
      <c r="E31" s="200" t="s">
        <v>218</v>
      </c>
      <c r="F31" s="95" t="s">
        <v>189</v>
      </c>
      <c r="G31" s="95" t="s">
        <v>190</v>
      </c>
      <c r="H31" s="95" t="s">
        <v>191</v>
      </c>
      <c r="I31" s="95" t="s">
        <v>192</v>
      </c>
    </row>
    <row r="32" spans="4:10" ht="14.1" customHeight="1">
      <c r="D32" s="86">
        <v>1</v>
      </c>
      <c r="E32" s="95" t="s">
        <v>188</v>
      </c>
      <c r="F32" s="94">
        <v>243</v>
      </c>
      <c r="G32" s="94">
        <v>294</v>
      </c>
      <c r="H32" s="94">
        <v>361</v>
      </c>
      <c r="I32" s="94">
        <v>329</v>
      </c>
    </row>
    <row r="33" spans="4:9" ht="14.1" customHeight="1">
      <c r="D33" s="86">
        <v>2</v>
      </c>
      <c r="E33" s="95" t="s">
        <v>196</v>
      </c>
      <c r="F33" s="94">
        <v>261</v>
      </c>
      <c r="G33" s="94">
        <v>314</v>
      </c>
      <c r="H33" s="94">
        <v>384</v>
      </c>
      <c r="I33" s="94">
        <v>356</v>
      </c>
    </row>
    <row r="34" spans="4:9" ht="14.1" customHeight="1">
      <c r="D34" s="86">
        <v>3</v>
      </c>
      <c r="E34" s="95" t="s">
        <v>197</v>
      </c>
      <c r="F34" s="94">
        <v>278</v>
      </c>
      <c r="G34" s="94">
        <v>334</v>
      </c>
      <c r="H34" s="94">
        <v>407</v>
      </c>
      <c r="I34" s="94">
        <v>382</v>
      </c>
    </row>
    <row r="35" spans="4:9" ht="14.1" customHeight="1">
      <c r="D35" s="86">
        <v>4</v>
      </c>
      <c r="E35" s="95" t="s">
        <v>198</v>
      </c>
      <c r="F35" s="94">
        <v>295</v>
      </c>
      <c r="G35" s="94">
        <v>353</v>
      </c>
      <c r="H35" s="94">
        <v>430</v>
      </c>
      <c r="I35" s="94">
        <v>409</v>
      </c>
    </row>
    <row r="36" spans="4:9" ht="14.1" customHeight="1">
      <c r="D36" s="86">
        <v>5</v>
      </c>
      <c r="E36" s="95" t="s">
        <v>199</v>
      </c>
      <c r="F36" s="94">
        <v>312</v>
      </c>
      <c r="G36" s="94">
        <v>373</v>
      </c>
      <c r="H36" s="94">
        <v>453</v>
      </c>
      <c r="I36" s="94">
        <v>435</v>
      </c>
    </row>
    <row r="37" spans="4:9" ht="14.1" customHeight="1">
      <c r="D37" s="86">
        <v>6</v>
      </c>
      <c r="E37" s="95" t="s">
        <v>200</v>
      </c>
      <c r="F37" s="94">
        <v>339</v>
      </c>
      <c r="G37" s="94">
        <v>405</v>
      </c>
      <c r="H37" s="94">
        <v>490</v>
      </c>
      <c r="I37" s="94">
        <v>477</v>
      </c>
    </row>
    <row r="38" spans="4:9" ht="14.1" customHeight="1">
      <c r="D38" s="86">
        <v>7</v>
      </c>
      <c r="E38" s="95" t="s">
        <v>201</v>
      </c>
      <c r="F38" s="94">
        <v>367</v>
      </c>
      <c r="G38" s="94">
        <v>436</v>
      </c>
      <c r="H38" s="94">
        <v>527</v>
      </c>
      <c r="I38" s="94">
        <v>519</v>
      </c>
    </row>
    <row r="39" spans="4:9" ht="14.1" customHeight="1">
      <c r="D39" s="86">
        <v>8</v>
      </c>
      <c r="E39" s="95" t="s">
        <v>202</v>
      </c>
      <c r="F39" s="94">
        <v>394</v>
      </c>
      <c r="G39" s="94">
        <v>467</v>
      </c>
      <c r="H39" s="94">
        <v>564</v>
      </c>
      <c r="I39" s="94">
        <v>561</v>
      </c>
    </row>
    <row r="40" spans="4:9" ht="14.1" customHeight="1">
      <c r="D40" s="86">
        <v>9</v>
      </c>
      <c r="E40" s="95" t="s">
        <v>203</v>
      </c>
      <c r="F40" s="94">
        <v>421</v>
      </c>
      <c r="G40" s="94">
        <v>499</v>
      </c>
      <c r="H40" s="94">
        <v>601</v>
      </c>
      <c r="I40" s="94">
        <v>604</v>
      </c>
    </row>
    <row r="41" spans="4:9" ht="14.1" customHeight="1">
      <c r="D41" s="86">
        <v>10</v>
      </c>
      <c r="E41" s="95" t="s">
        <v>204</v>
      </c>
      <c r="F41" s="94">
        <v>449</v>
      </c>
      <c r="G41" s="94">
        <v>530</v>
      </c>
      <c r="H41" s="94">
        <v>637</v>
      </c>
      <c r="I41" s="94">
        <v>646</v>
      </c>
    </row>
    <row r="43" spans="4:9">
      <c r="E43" s="400" t="s">
        <v>195</v>
      </c>
      <c r="F43" s="402" t="s">
        <v>187</v>
      </c>
      <c r="G43" s="403"/>
      <c r="H43" s="403"/>
      <c r="I43" s="404"/>
    </row>
    <row r="44" spans="4:9">
      <c r="E44" s="401"/>
      <c r="F44" s="405"/>
      <c r="G44" s="406"/>
      <c r="H44" s="406"/>
      <c r="I44" s="407"/>
    </row>
    <row r="45" spans="4:9" hidden="1">
      <c r="E45" s="199"/>
      <c r="F45" s="193" t="s">
        <v>214</v>
      </c>
      <c r="G45" s="193" t="s">
        <v>215</v>
      </c>
      <c r="H45" s="193" t="s">
        <v>216</v>
      </c>
      <c r="I45" s="193" t="s">
        <v>217</v>
      </c>
    </row>
    <row r="46" spans="4:9" ht="14.1" customHeight="1">
      <c r="E46" s="200" t="s">
        <v>218</v>
      </c>
      <c r="F46" s="95" t="s">
        <v>189</v>
      </c>
      <c r="G46" s="95" t="s">
        <v>190</v>
      </c>
      <c r="H46" s="95" t="s">
        <v>191</v>
      </c>
      <c r="I46" s="95" t="s">
        <v>192</v>
      </c>
    </row>
    <row r="47" spans="4:9" ht="14.1" customHeight="1">
      <c r="D47" s="86">
        <v>1</v>
      </c>
      <c r="E47" s="95" t="s">
        <v>188</v>
      </c>
      <c r="F47" s="94">
        <v>230.5</v>
      </c>
      <c r="G47" s="94">
        <v>281.5</v>
      </c>
      <c r="H47" s="94">
        <v>348.5</v>
      </c>
      <c r="I47" s="94">
        <v>304</v>
      </c>
    </row>
    <row r="48" spans="4:9" ht="14.1" customHeight="1">
      <c r="D48" s="86">
        <v>2</v>
      </c>
      <c r="E48" s="95" t="s">
        <v>196</v>
      </c>
      <c r="F48" s="94">
        <v>248.5</v>
      </c>
      <c r="G48" s="94">
        <v>301.5</v>
      </c>
      <c r="H48" s="94">
        <v>371.5</v>
      </c>
      <c r="I48" s="94">
        <v>331</v>
      </c>
    </row>
    <row r="49" spans="4:9" ht="14.1" customHeight="1">
      <c r="D49" s="86">
        <v>3</v>
      </c>
      <c r="E49" s="95" t="s">
        <v>197</v>
      </c>
      <c r="F49" s="94">
        <v>265.5</v>
      </c>
      <c r="G49" s="94">
        <v>321.5</v>
      </c>
      <c r="H49" s="94">
        <v>394.5</v>
      </c>
      <c r="I49" s="94">
        <v>357</v>
      </c>
    </row>
    <row r="50" spans="4:9" ht="14.1" customHeight="1">
      <c r="D50" s="86">
        <v>4</v>
      </c>
      <c r="E50" s="95" t="s">
        <v>198</v>
      </c>
      <c r="F50" s="94">
        <v>282.5</v>
      </c>
      <c r="G50" s="94">
        <v>340.5</v>
      </c>
      <c r="H50" s="94">
        <v>417.5</v>
      </c>
      <c r="I50" s="94">
        <v>384</v>
      </c>
    </row>
    <row r="51" spans="4:9" ht="14.1" customHeight="1">
      <c r="D51" s="86">
        <v>5</v>
      </c>
      <c r="E51" s="95" t="s">
        <v>199</v>
      </c>
      <c r="F51" s="94">
        <v>299.5</v>
      </c>
      <c r="G51" s="94">
        <v>360.5</v>
      </c>
      <c r="H51" s="94">
        <v>440.5</v>
      </c>
      <c r="I51" s="94">
        <v>410</v>
      </c>
    </row>
    <row r="52" spans="4:9" ht="14.1" customHeight="1">
      <c r="D52" s="86">
        <v>6</v>
      </c>
      <c r="E52" s="95" t="s">
        <v>200</v>
      </c>
      <c r="F52" s="94">
        <v>326.5</v>
      </c>
      <c r="G52" s="94">
        <v>392.5</v>
      </c>
      <c r="H52" s="94">
        <v>477.5</v>
      </c>
      <c r="I52" s="94">
        <v>452</v>
      </c>
    </row>
    <row r="53" spans="4:9" ht="14.1" customHeight="1">
      <c r="D53" s="86">
        <v>7</v>
      </c>
      <c r="E53" s="95" t="s">
        <v>201</v>
      </c>
      <c r="F53" s="94">
        <v>354.5</v>
      </c>
      <c r="G53" s="94">
        <v>423.5</v>
      </c>
      <c r="H53" s="94">
        <v>514.5</v>
      </c>
      <c r="I53" s="94">
        <v>494</v>
      </c>
    </row>
    <row r="54" spans="4:9" ht="14.1" customHeight="1">
      <c r="D54" s="86">
        <v>8</v>
      </c>
      <c r="E54" s="95" t="s">
        <v>202</v>
      </c>
      <c r="F54" s="94">
        <v>381.5</v>
      </c>
      <c r="G54" s="94">
        <v>454.5</v>
      </c>
      <c r="H54" s="94">
        <v>551.5</v>
      </c>
      <c r="I54" s="94">
        <v>536</v>
      </c>
    </row>
    <row r="55" spans="4:9" ht="14.1" customHeight="1">
      <c r="D55" s="86">
        <v>9</v>
      </c>
      <c r="E55" s="95" t="s">
        <v>203</v>
      </c>
      <c r="F55" s="94">
        <v>408.5</v>
      </c>
      <c r="G55" s="94">
        <v>486.5</v>
      </c>
      <c r="H55" s="94">
        <v>588.5</v>
      </c>
      <c r="I55" s="94">
        <v>579</v>
      </c>
    </row>
    <row r="56" spans="4:9" ht="14.1" customHeight="1">
      <c r="D56" s="86">
        <v>10</v>
      </c>
      <c r="E56" s="95" t="s">
        <v>204</v>
      </c>
      <c r="F56" s="94">
        <v>436.5</v>
      </c>
      <c r="G56" s="94">
        <v>517.5</v>
      </c>
      <c r="H56" s="94">
        <v>624.5</v>
      </c>
      <c r="I56" s="94">
        <v>621</v>
      </c>
    </row>
  </sheetData>
  <sheetProtection algorithmName="SHA-512" hashValue="j/hOj+4wq8w2fieaVJa7Ug94x+j8pOAyfLo1Jjij+cBtgtM/sKSpn3HU8wz22RCQVKKYY0H/z2dcmiPmoQOEsw==" saltValue="BUNyIJcWQIOlkyXe/NSCrg==" spinCount="100000" sheet="1" objects="1" scenarios="1"/>
  <mergeCells count="10">
    <mergeCell ref="E43:E44"/>
    <mergeCell ref="F43:I44"/>
    <mergeCell ref="J7:K7"/>
    <mergeCell ref="J8:K8"/>
    <mergeCell ref="E7:I7"/>
    <mergeCell ref="E8:I8"/>
    <mergeCell ref="F13:I14"/>
    <mergeCell ref="E13:E14"/>
    <mergeCell ref="E28:E29"/>
    <mergeCell ref="F28:I29"/>
  </mergeCells>
  <conditionalFormatting sqref="F1:K1">
    <cfRule type="colorScale" priority="1">
      <colorScale>
        <cfvo type="num" val="0"/>
        <cfvo type="num" val="0"/>
        <color rgb="FFFF7128"/>
        <color rgb="FFFFEF9C"/>
      </colorScale>
    </cfRule>
  </conditionalFormatting>
  <hyperlinks>
    <hyperlink ref="A11" location="'Rosenheimer Modell'!K76" display="zurück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Rosenheimer Modell</vt:lpstr>
      <vt:lpstr>Graphik</vt:lpstr>
      <vt:lpstr>Düsseldorfer Tabelle</vt:lpstr>
      <vt:lpstr>'Rosenheimer Modell'!Druckbereich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Engelmayer Hans</dc:creator>
  <cp:keywords/>
  <dc:description/>
  <cp:lastModifiedBy>Engelmayer Hans</cp:lastModifiedBy>
  <cp:revision/>
  <cp:lastPrinted>2017-03-20T15:23:19Z</cp:lastPrinted>
  <dcterms:created xsi:type="dcterms:W3CDTF">2017-02-20T12:23:33Z</dcterms:created>
  <dcterms:modified xsi:type="dcterms:W3CDTF">2017-03-20T15:41:37Z</dcterms:modified>
  <cp:category/>
  <cp:contentStatus/>
</cp:coreProperties>
</file>